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KB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<sst xmlns="http://schemas.openxmlformats.org/spreadsheetml/2006/main" count="1097" uniqueCount="669">
  <si>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</si>
  <si>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</si>
  <si>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</si>
  <si>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</si>
  <si>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</si>
  <si>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</si>
  <si>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</si>
  <si>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</si>
  <si>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</si>
  <si>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</si>
  <si>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</si>
  <si>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</si>
  <si>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</si>
  <si>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</si>
  <si>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</si>
  <si>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</si>
  <si>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</si>
  <si>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</si>
  <si>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</si>
  <si>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</si>
  <si>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</si>
  <si>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</si>
  <si>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</si>
  <si>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</si>
  <si>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</si>
  <si>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</si>
  <si>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</si>
  <si>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</si>
  <si>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</si>
  <si>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</si>
  <si>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</si>
  <si>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</si>
  <si>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</si>
  <si>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</si>
  <si>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</si>
  <si>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</si>
  <si>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</si>
  <si>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</si>
  <si>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</si>
  <si>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</si>
  <si>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</si>
  <si>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</si>
  <si>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</si>
  <si>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</si>
  <si>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</si>
  <si>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</si>
  <si>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</si>
  <si>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</si>
  <si>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</si>
  <si>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</si>
  <si>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</si>
  <si>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</si>
  <si>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</si>
  <si>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</si>
  <si>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</si>
  <si>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</si>
  <si>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</si>
  <si>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</si>
  <si>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</si>
  <si>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</si>
  <si>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</si>
  <si>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</si>
  <si>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</si>
  <si>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</si>
  <si>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</si>
  <si>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</si>
  <si>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</si>
  <si>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</si>
  <si>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</si>
  <si>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</si>
  <si>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</si>
  <si>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</si>
  <si>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</si>
  <si>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</si>
  <si>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</si>
  <si>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</si>
  <si>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</si>
  <si>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</si>
  <si>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</si>
  <si>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</si>
  <si>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</si>
  <si>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</si>
  <si>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</si>
  <si>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</si>
  <si>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</si>
  <si>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</si>
  <si>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</si>
  <si>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</si>
  <si>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</si>
  <si>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</si>
  <si>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</si>
  <si>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</si>
  <si>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</si>
  <si>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</si>
  <si>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</si>
  <si>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</si>
  <si>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</si>
  <si>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</si>
  <si>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</si>
  <si>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</si>
  <si>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</si>
  <si>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</si>
  <si>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</si>
  <si>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</si>
  <si>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</si>
  <si>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</si>
  <si>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</si>
  <si>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</si>
  <si>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</si>
  <si>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</si>
  <si>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</si>
  <si>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</si>
  <si>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</si>
  <si>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</si>
  <si>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</si>
  <si>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</si>
  <si>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</si>
  <si>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Baloncesto</t>
  </si>
  <si>
    <t>Baloncesto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</si>
  <si>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</si>
  <si>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</si>
  <si>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</si>
  <si>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</si>
  <si>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</si>
  <si>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</si>
  <si>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</si>
  <si>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</si>
  <si>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</si>
  <si>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</si>
  <si>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</si>
  <si>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</si>
  <si>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</si>
  <si>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</si>
  <si>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</si>
  <si>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</si>
  <si>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</si>
  <si>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</si>
  <si>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</si>
  <si>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</si>
  <si>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</si>
  <si>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</si>
  <si>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</si>
  <si>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</si>
  <si>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</si>
  <si>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</si>
  <si>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</si>
  <si>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</si>
  <si>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</si>
  <si>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</si>
  <si>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</si>
  <si>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</si>
  <si>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</si>
  <si>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</si>
  <si>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</si>
  <si>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</si>
  <si>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</si>
  <si>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</si>
  <si>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</si>
  <si>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</si>
  <si>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</si>
  <si>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</si>
  <si>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</si>
  <si>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</si>
  <si>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</si>
  <si>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</si>
  <si>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</si>
  <si>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</si>
  <si>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</si>
  <si>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</si>
  <si>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</si>
  <si>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</si>
  <si>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</si>
  <si>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</si>
  <si>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</si>
  <si>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</si>
  <si>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</si>
  <si>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</si>
  <si>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</si>
  <si>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</si>
  <si>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</si>
  <si>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</si>
  <si>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</si>
  <si>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</si>
  <si>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</si>
  <si>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</si>
  <si>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</si>
  <si>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</si>
  <si>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</si>
  <si>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</si>
  <si>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</si>
  <si>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</si>
  <si>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</si>
  <si>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</si>
  <si>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</si>
  <si>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</si>
  <si>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</si>
  <si>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</si>
  <si>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</si>
  <si>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</si>
  <si>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</si>
  <si>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</si>
  <si>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</si>
  <si>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</si>
  <si>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</si>
  <si>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</si>
  <si>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</si>
  <si>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</si>
  <si>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</si>
  <si>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</si>
  <si>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</si>
  <si>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</si>
  <si>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</si>
  <si>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</si>
  <si>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</si>
  <si>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</si>
  <si>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</si>
  <si>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</si>
  <si>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</si>
  <si>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</si>
  <si>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</si>
  <si>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</si>
  <si>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</si>
  <si>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</si>
  <si>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</si>
  <si>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</si>
  <si>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</si>
  <si>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</si>
  <si>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</si>
  <si>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</si>
  <si>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</si>
  <si>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</si>
  <si>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</si>
  <si>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</si>
  <si>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</si>
  <si>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</si>
  <si>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</si>
  <si>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</si>
  <si>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</si>
  <si>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</si>
  <si>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</si>
  <si>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</si>
  <si>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</si>
  <si>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</si>
  <si>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</si>
  <si>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</si>
  <si>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</si>
  <si>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</si>
  <si>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</si>
  <si>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</si>
  <si>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</si>
  <si>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</si>
  <si>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</si>
  <si>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</si>
  <si>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</si>
  <si>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</si>
  <si>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</si>
  <si>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</si>
  <si>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</si>
  <si>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</si>
  <si>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</si>
  <si>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</si>
  <si>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</si>
  <si>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</si>
  <si>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</si>
  <si>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</si>
  <si>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</si>
  <si>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</si>
  <si>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</si>
  <si>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</si>
  <si>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</si>
  <si>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</si>
  <si>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</si>
  <si>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</si>
  <si>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</si>
  <si>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</si>
  <si>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</si>
  <si>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</si>
  <si>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</si>
  <si>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</si>
  <si>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</si>
  <si>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</si>
  <si>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</si>
  <si>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</si>
  <si>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</si>
  <si>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</si>
  <si>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</si>
  <si>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</si>
  <si>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</si>
  <si>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</si>
  <si>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</si>
  <si>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</si>
  <si>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</si>
  <si>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</si>
  <si>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</si>
  <si>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</si>
  <si>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</si>
  <si>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</si>
  <si>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</si>
  <si>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</si>
  <si>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</si>
  <si>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</si>
  <si>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</si>
  <si>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</si>
  <si>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</si>
  <si>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</si>
  <si>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</si>
  <si>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</si>
  <si>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</si>
  <si>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</si>
  <si>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</si>
  <si>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</si>
  <si>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</si>
  <si>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</si>
  <si>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</si>
  <si>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</si>
  <si>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</si>
  <si>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</si>
  <si>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</si>
  <si>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</si>
  <si>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</si>
  <si>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</si>
  <si>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</si>
  <si>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</si>
  <si>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</si>
  <si>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</si>
  <si>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</si>
  <si>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</si>
  <si>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</si>
  <si>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</si>
  <si>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</si>
  <si>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</si>
  <si>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</si>
  <si>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</si>
  <si>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</si>
  <si>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</si>
  <si>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</si>
  <si>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</si>
  <si>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</si>
  <si>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</si>
  <si>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</si>
  <si>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</si>
  <si>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</si>
  <si>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</si>
  <si>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</si>
  <si>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</si>
  <si>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</si>
  <si>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</si>
  <si>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</si>
  <si>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</si>
  <si>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</si>
  <si>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</si>
  <si>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</si>
  <si>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</si>
  <si>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</si>
  <si>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</si>
  <si>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</si>
  <si>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</si>
  <si>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</si>
  <si>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</si>
  <si>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</si>
  <si>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</si>
  <si>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</si>
  <si>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</si>
  <si>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</si>
  <si>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</si>
  <si>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</si>
  <si>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</si>
  <si>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</si>
  <si>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</si>
  <si>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</si>
  <si>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</si>
  <si>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</si>
  <si>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</si>
  <si>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</si>
  <si>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</si>
  <si>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</si>
  <si>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</si>
  <si>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</si>
  <si>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</si>
  <si>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</si>
  <si>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</si>
  <si>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</si>
  <si>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</si>
  <si>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</si>
  <si>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</si>
  <si>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</si>
  <si>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</si>
  <si>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</si>
  <si>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</si>
  <si>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</si>
  <si>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</si>
  <si>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</si>
  <si>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</si>
  <si>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</si>
  <si>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</si>
  <si>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</si>
  <si>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</si>
  <si>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</si>
  <si>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</si>
  <si>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</si>
  <si>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</si>
  <si>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</si>
  <si>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</si>
  <si>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</si>
  <si>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</si>
  <si>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</si>
  <si>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</si>
  <si>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</si>
  <si>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</si>
  <si>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</si>
  <si>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</si>
  <si>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</si>
  <si>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</si>
  <si>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</si>
  <si>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</si>
  <si>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</si>
  <si>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</si>
  <si>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</si>
  <si>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</si>
  <si>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</si>
  <si>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</si>
  <si>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</si>
  <si>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</si>
  <si>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</si>
  <si>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</si>
  <si>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</si>
  <si>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</si>
  <si>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</si>
  <si>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</si>
  <si>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</si>
  <si>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</si>
  <si>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</si>
  <si>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</si>
  <si>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</si>
  <si>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</si>
  <si>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</si>
  <si>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</si>
  <si>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</si>
  <si>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</si>
  <si>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</si>
  <si>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</si>
  <si>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</si>
  <si>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</si>
  <si>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</si>
  <si>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</si>
  <si>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</si>
  <si>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</si>
  <si>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</si>
  <si>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</si>
  <si>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</si>
  <si>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</si>
  <si>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</si>
  <si>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</si>
  <si>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</si>
  <si>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</si>
  <si>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</si>
  <si>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</si>
  <si>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</si>
  <si>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</si>
  <si>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</si>
  <si>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</si>
  <si>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</si>
  <si>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</si>
  <si>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</si>
  <si>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</si>
  <si>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</si>
  <si>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</si>
  <si>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</si>
  <si>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</si>
  <si>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</si>
  <si>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</si>
  <si>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</si>
  <si>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</si>
  <si>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</si>
  <si>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</si>
  <si>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</si>
  <si>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</si>
  <si>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</si>
  <si>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</si>
  <si>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</si>
  <si>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</si>
  <si>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</si>
  <si>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</si>
  <si>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</si>
  <si>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</si>
  <si>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</si>
  <si>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</si>
  <si>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</si>
  <si>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</si>
  <si>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</si>
  <si>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</si>
  <si>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</si>
  <si>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</si>
  <si>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</si>
  <si>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</si>
  <si>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</si>
  <si>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</si>
  <si>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</si>
  <si>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</si>
  <si>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</si>
  <si>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Capitán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</si>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</sst>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295275</xdr:colOff>
      <xdr:row>0</xdr:row>
      <xdr:rowOff>57150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161925</xdr:colOff>
      <xdr:row>1</xdr:row>
      <xdr:rowOff>19050</xdr:rowOff>
    </xdr:from>
    <xdr:ext cx="990600" cy="9906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3.0"/>
    <col customWidth="1" min="10" max="10" width="15.75"/>
    <col customWidth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VLOOKUP($K$9,$W$7:$BZ$8,56,0)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12" t="s">
        <v>117</v>
      </c>
      <c r="CD3" s="12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VLOOKUP($K$9,$W$7:$BY$8,8,0)</f>
        <v>Baloncesto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539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179</v>
      </c>
      <c r="AQ7" s="12" t="s">
        <v>548</v>
      </c>
      <c r="AR7" s="12" t="s">
        <v>549</v>
      </c>
      <c r="AS7" s="12" t="s">
        <v>197</v>
      </c>
      <c r="AT7" s="12" t="s">
        <v>550</v>
      </c>
      <c r="AU7" s="12" t="s">
        <v>551</v>
      </c>
      <c r="AV7" s="12" t="s">
        <v>119</v>
      </c>
      <c r="AW7" s="12" t="s">
        <v>198</v>
      </c>
      <c r="AX7" s="12" t="s">
        <v>552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280</v>
      </c>
      <c r="BG7" s="12" t="s">
        <v>560</v>
      </c>
      <c r="BH7" s="12" t="s">
        <v>121</v>
      </c>
      <c r="BI7" s="12" t="s">
        <v>561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322</v>
      </c>
      <c r="BU7" s="12" t="s">
        <v>321</v>
      </c>
      <c r="BV7" s="12" t="s">
        <v>572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582</v>
      </c>
      <c r="AH8" s="12" t="s">
        <v>540</v>
      </c>
      <c r="AI8" s="12" t="s">
        <v>583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397</v>
      </c>
      <c r="AQ8" s="12" t="s">
        <v>590</v>
      </c>
      <c r="AR8" s="12" t="s">
        <v>591</v>
      </c>
      <c r="AS8" s="12" t="s">
        <v>197</v>
      </c>
      <c r="AT8" s="12" t="s">
        <v>592</v>
      </c>
      <c r="AU8" s="12" t="s">
        <v>593</v>
      </c>
      <c r="AV8" s="12" t="s">
        <v>373</v>
      </c>
      <c r="AW8" s="12" t="s">
        <v>415</v>
      </c>
      <c r="AX8" s="12" t="s">
        <v>552</v>
      </c>
      <c r="AY8" s="12" t="s">
        <v>553</v>
      </c>
      <c r="AZ8" s="12" t="s">
        <v>594</v>
      </c>
      <c r="BA8" s="12" t="s">
        <v>595</v>
      </c>
      <c r="BB8" s="12" t="s">
        <v>353</v>
      </c>
      <c r="BC8" s="12" t="s">
        <v>596</v>
      </c>
      <c r="BD8" s="12" t="s">
        <v>597</v>
      </c>
      <c r="BE8" s="12" t="s">
        <v>598</v>
      </c>
      <c r="BF8" s="12" t="s">
        <v>280</v>
      </c>
      <c r="BG8" s="12" t="s">
        <v>599</v>
      </c>
      <c r="BH8" s="12" t="s">
        <v>375</v>
      </c>
      <c r="BI8" s="12" t="s">
        <v>600</v>
      </c>
      <c r="BJ8" s="12" t="s">
        <v>562</v>
      </c>
      <c r="BK8" s="12" t="s">
        <v>563</v>
      </c>
      <c r="BL8" s="12" t="s">
        <v>601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569</v>
      </c>
      <c r="BR8" s="12" t="s">
        <v>606</v>
      </c>
      <c r="BS8" s="12" t="s">
        <v>607</v>
      </c>
      <c r="BT8" s="12" t="s">
        <v>473</v>
      </c>
      <c r="BU8" s="12" t="s">
        <v>472</v>
      </c>
      <c r="BV8" s="12" t="s">
        <v>608</v>
      </c>
      <c r="BW8" s="12" t="s">
        <v>352</v>
      </c>
      <c r="BX8" s="12" t="s">
        <v>609</v>
      </c>
      <c r="BY8" s="12" t="s">
        <v>610</v>
      </c>
      <c r="BZ8" s="12" t="s">
        <v>611</v>
      </c>
      <c r="CA8" s="7" t="s">
        <v>612</v>
      </c>
    </row>
    <row r="9" ht="17.25" customHeight="1">
      <c r="A9" s="8"/>
      <c r="B9" s="19" t="str">
        <f>VLOOKUP($K$9,$W$7:$CA$8,57,0)</f>
        <v>Datos del Atleta</v>
      </c>
      <c r="C9" s="20"/>
      <c r="D9" s="20"/>
      <c r="E9" s="10"/>
      <c r="F9" s="21"/>
      <c r="G9" s="8"/>
      <c r="H9" s="8"/>
      <c r="I9" s="8"/>
      <c r="K9" s="22" t="s">
        <v>59</v>
      </c>
      <c r="L9" s="5"/>
      <c r="M9" s="5"/>
      <c r="N9" s="5"/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613</v>
      </c>
      <c r="C10" s="24" t="str">
        <f>VLOOKUP($K$9,$W$5:$AE$6,2,0)</f>
        <v>Apellido</v>
      </c>
      <c r="D10" s="24" t="str">
        <f>VLOOKUP($K$9,$W$5:$AE$6,3,0)</f>
        <v>Nombre</v>
      </c>
      <c r="E10" s="24" t="str">
        <f>VLOOKUP($K$9,$W$5:$AE$6,4,0)</f>
        <v>Genero</v>
      </c>
      <c r="F10" s="24" t="str">
        <f>VLOOKUP($K$9,$W$5:$AE$6,5,0)</f>
        <v>Evento Deportivo</v>
      </c>
      <c r="G10" s="25" t="str">
        <f>VLOOKUP($K$9,$W$5:KX$6,6,0)</f>
        <v>Peso</v>
      </c>
      <c r="H10" s="25" t="str">
        <f>VLOOKUP($K$9,$W$5:KX$6,7,0)</f>
        <v>Estatura</v>
      </c>
      <c r="I10" s="25" t="str">
        <f>VLOOKUP($K$9,$W$5:KX$6,24,0)</f>
        <v>Número en uniforme</v>
      </c>
      <c r="J10" s="25" t="str">
        <f>VLOOKUP($K$9,$W$5:KX$6,25,0)</f>
        <v>Nombre en uniforme</v>
      </c>
      <c r="K10" s="25" t="str">
        <f>VLOOKUP($K$9,$W$5:KX$6,28,0)</f>
        <v>Capitán</v>
      </c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29"/>
      <c r="K11" s="29"/>
      <c r="L11" s="5"/>
      <c r="M11" s="5"/>
      <c r="N11" s="5"/>
      <c r="O11" s="5"/>
      <c r="P11" s="5"/>
      <c r="Q11" s="5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7" t="s">
        <v>668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2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VLOOKUP($K$9,$W$3:$KV$4,257,0)</f>
        <v>Recurvo Individual</v>
      </c>
      <c r="Y12" s="8" t="str">
        <f>VLOOKUP($K$9,$W$3:$KV$4,200,0)</f>
        <v>Libre</v>
      </c>
      <c r="Z12" s="8" t="str">
        <f>VLOOKUP($K$9,$W$3:$KV$4,30,0)</f>
        <v>100m</v>
      </c>
      <c r="AA12" s="8" t="str">
        <f>VLOOKUP($K$9,$W$3:$KV$4,62,0)</f>
        <v>Béisbol</v>
      </c>
      <c r="AB12" s="8" t="str">
        <f>VLOOKUP($K$9,$W$3:$KV$4,56,0)</f>
        <v>Individual</v>
      </c>
      <c r="AC12" s="8" t="str">
        <f>VLOOKUP($K$9,$W$3:$KV$4,60,0)</f>
        <v>Baloncesto 3x3</v>
      </c>
      <c r="AD12" s="8" t="str">
        <f>VLOOKUP($K$9,$W$3:$KV$4,59,0)</f>
        <v>Baloncesto</v>
      </c>
      <c r="AE12" s="8" t="str">
        <f>VLOOKUP($K$9,$W$3:$KV$4,79,0)</f>
        <v>Breaking</v>
      </c>
      <c r="AF12" s="8" t="str">
        <f>VLOOKUP($K$9,$W$3:$KV$4,93,0)</f>
        <v>BMX Freestyle</v>
      </c>
      <c r="AG12" s="8" t="str">
        <f>VLOOKUP($K$9,$W$3:$KV$4,257,0)</f>
        <v>Recurvo Individual</v>
      </c>
      <c r="AH12" s="8" t="str">
        <f>VLOOKUP($K$9,$W$3:$KV$4,64,0)</f>
        <v>Individual</v>
      </c>
      <c r="AI12" s="8" t="str">
        <f>VLOOKUP($K$9,$W$3:$KV$4,110,0)</f>
        <v>Velocidad</v>
      </c>
      <c r="AJ12" s="8" t="str">
        <f>VLOOKUP($K$9,$W$3:$KV$4,96,0)</f>
        <v>Contrareloj</v>
      </c>
      <c r="AK12" s="8" t="str">
        <f>VLOOKUP($K$9,$W$3:$KV$4,90,0)</f>
        <v>K1</v>
      </c>
      <c r="AL12" s="8" t="str">
        <f>VLOOKUP($K$9,$W$3:$KV$4,80,0)</f>
        <v>MK1 1,000m</v>
      </c>
      <c r="AM12" s="8" t="str">
        <f>VLOOKUP($K$9,$W$3:$KV$4,98,0)</f>
        <v>Velocidad Individual</v>
      </c>
      <c r="AN12" s="8" t="str">
        <f>VLOOKUP($K$9,$W$3:$KV$4,2,0)</f>
        <v>Individual 1m Trampolín</v>
      </c>
      <c r="AO12" s="8" t="str">
        <f>VLOOKUP($K$9,$W$3:$KV$4,104,0)</f>
        <v>Adiestramiento Individual</v>
      </c>
      <c r="AP12" s="8" t="str">
        <f>VLOOKUP($K$9,$W$3:$KV$4,123,0)</f>
        <v>Fútbol</v>
      </c>
      <c r="AQ12" s="8" t="str">
        <f>VLOOKUP($K$9,$W$3:$KV$4,112,0)</f>
        <v>Espada Individual</v>
      </c>
      <c r="AR12" s="8" t="str">
        <f>VLOOKUP($K$9,$W$3:$KV$4,124,0)</f>
        <v>Equipos</v>
      </c>
      <c r="AS12" s="8" t="str">
        <f>VLOOKUP($K$9,$W$3:$KV$4,144,0)</f>
        <v>Golf</v>
      </c>
      <c r="AT12" s="8" t="str">
        <f>VLOOKUP($K$9,$W$3:$KV$4,134,0)</f>
        <v>General Individual</v>
      </c>
      <c r="AU12" s="8" t="str">
        <f>VLOOKUP($K$9,$W$3:$KV$4,142,0)</f>
        <v>Individual</v>
      </c>
      <c r="AV12" s="8" t="str">
        <f>VLOOKUP($K$9,$W$3:$KV$4,61,0)</f>
        <v>Balonmano</v>
      </c>
      <c r="AW12" s="8" t="str">
        <f>VLOOKUP($K$9,$W$3:$KV$4,145,0)</f>
        <v>Hockey Césped</v>
      </c>
      <c r="AX12" s="8" t="str">
        <f>VLOOKUP($K$9,$W$3:$KV$4,146,0)</f>
        <v>M -60 Kg</v>
      </c>
      <c r="AY12" s="8" t="str">
        <f>VLOOKUP($K$9,$W$3:$KV$4,161,0)</f>
        <v>Kumite M -60 Kg</v>
      </c>
      <c r="AZ12" s="8" t="str">
        <f>VLOOKUP($K$9,$W$3:$KV$4,211,0)</f>
        <v>Individual</v>
      </c>
      <c r="BA12" s="8" t="str">
        <f>VLOOKUP($K$9,$W$3:$KV$4,95,0)</f>
        <v>Cross-Country</v>
      </c>
      <c r="BB12" s="8" t="str">
        <f>VLOOKUP($K$9,$W$3:$KV$4,29,0)</f>
        <v>Aguas Abiertas</v>
      </c>
      <c r="BC12" s="8" t="str">
        <f>VLOOKUP($K$9,$W$3:$KV$4,207,0)</f>
        <v>Pelota goma – Dobles Trinquete</v>
      </c>
      <c r="BD12" s="8" t="str">
        <f>VLOOKUP($K$9,$W$3:$KV$4,218,0)</f>
        <v>M1x</v>
      </c>
      <c r="BE12" s="8" t="str">
        <f>VLOOKUP($K$9,$W$3:$KV$4,214,0)</f>
        <v>Individual</v>
      </c>
      <c r="BF12" s="8" t="str">
        <f>VLOOKUP($K$9,$W$3:$KV$4,231,0)</f>
        <v>Rugby 7</v>
      </c>
      <c r="BG12" s="8" t="str">
        <f>VLOOKUP($K$9,$W$3:$KV$4,275,0)</f>
        <v>Tabla A Vela (Iqfoil)</v>
      </c>
      <c r="BH12" s="8" t="str">
        <f>VLOOKUP($K$9,$W$3:$KV$4,63,0)</f>
        <v>Sóftbol</v>
      </c>
      <c r="BI12" s="8" t="str">
        <f>VLOOKUP($K$9,$W$3:$KV$4,263,0)</f>
        <v>Rifle 50m 3 Posiciones</v>
      </c>
      <c r="BJ12" s="8" t="str">
        <f>VLOOKUP($K$9,$W$3:$KV$4,205,0)</f>
        <v>Street</v>
      </c>
      <c r="BK12" s="8" t="str">
        <f>VLOOKUP($K$9,$W$3:$KV$4,232,0)</f>
        <v>Individual</v>
      </c>
      <c r="BL12" s="8" t="str">
        <f>VLOOKUP($K$9,$W$3:$KV$4,236,0)</f>
        <v>Shortboard</v>
      </c>
      <c r="BM12" s="8" t="str">
        <f>VLOOKUP($K$9,$W$3:$KV$4,201,0)</f>
        <v>200m Meta Contra Meta</v>
      </c>
      <c r="BN12" s="8" t="str">
        <f>VLOOKUP($K$9,$W$3:$KV$4,27,0)</f>
        <v>Duetos</v>
      </c>
      <c r="BO12" s="8" t="str">
        <f>VLOOKUP($K$9,$W$3:$KV$4,7,0)</f>
        <v>50m libre</v>
      </c>
      <c r="BP12" s="8" t="str">
        <f>VLOOKUP($K$9,$W$3:$KV$4,250,0)</f>
        <v>Individual</v>
      </c>
      <c r="BQ12" s="8" t="str">
        <f>VLOOKUP($K$9,$W$3:$KV$4,240,0)</f>
        <v>M Kyorugi -58 Kg</v>
      </c>
      <c r="BR12" s="8" t="str">
        <f>VLOOKUP($K$9,$W$3:$KV$4,273,0)</f>
        <v>Individual</v>
      </c>
      <c r="BS12" s="8" t="str">
        <f>VLOOKUP($K$9,$W$3:$KV$4,253,0)</f>
        <v>Individual</v>
      </c>
      <c r="BT12" s="8" t="str">
        <f>VLOOKUP($K$9,$W$3:$KV$4,286,0)</f>
        <v>Vóleibol Playa</v>
      </c>
      <c r="BU12" s="8" t="str">
        <f>VLOOKUP($K$9,$W$3:$KV$4,285,0)</f>
        <v>Vóleibol</v>
      </c>
      <c r="BV12" s="8" t="str">
        <f>VLOOKUP($K$9,$W$3:$KV$4,172,0)</f>
        <v>M 61 Kg</v>
      </c>
      <c r="BW12" s="8" t="str">
        <f>VLOOKUP($K$9,$W$3:$KV$4,28,0)</f>
        <v>Polo Acuático</v>
      </c>
      <c r="BX12" s="8" t="str">
        <f>VLOOKUP($K$9,$W$3:$KV$4,182,0)</f>
        <v>Grecoromana 60 Kg</v>
      </c>
      <c r="BY12" s="8" t="str">
        <f>VLOOKUP($K$9,$W$3:$KV$4,118,0)</f>
        <v>Figuras</v>
      </c>
      <c r="BZ12" s="8" t="str">
        <f>VLOOKUP($K$9,$W$3:$KX$4,287,0)</f>
        <v>Masculino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34"/>
      <c r="K13" s="34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VLOOKUP($K$9,$W$3:$KV$4,258,0)</f>
        <v>Individual Compuesto</v>
      </c>
      <c r="Z13" s="8" t="str">
        <f>VLOOKUP($K$9,$W$3:$KV$4,31,0)</f>
        <v>200m</v>
      </c>
      <c r="AB13" s="8" t="str">
        <f>VLOOKUP($K$9,$W$3:$KV$4,57,0)</f>
        <v>Dobles</v>
      </c>
      <c r="AH13" s="8" t="str">
        <f>VLOOKUP($K$9,$W$3:$KV$4,65,0)</f>
        <v>Dobles</v>
      </c>
      <c r="AI13" s="8" t="str">
        <f>VLOOKUP($K$9,$W$3:$KV$4,111,0)</f>
        <v>Boulder &amp; Lead</v>
      </c>
      <c r="AJ13" s="8" t="str">
        <f>VLOOKUP($K$9,$W$3:$KV$4,97,0)</f>
        <v>Gran Fondo</v>
      </c>
      <c r="AK13" s="8" t="str">
        <f>VLOOKUP($K$9,$W$3:$KV$4,91,0)</f>
        <v>C1</v>
      </c>
      <c r="AL13" s="8" t="str">
        <f>VLOOKUP($K$9,$W$3:$KV$4,81,0)</f>
        <v>MK2 500m</v>
      </c>
      <c r="AM13" s="8" t="str">
        <f>VLOOKUP($K$9,$W$3:$KV$4,99,0)</f>
        <v>Keirin</v>
      </c>
      <c r="AN13" s="8" t="str">
        <f>VLOOKUP($K$9,$W$3:$KV$4,3,0)</f>
        <v>Individual 3m Trampolín</v>
      </c>
      <c r="AO13" s="8" t="str">
        <f>VLOOKUP($K$9,$W$3:$KV$4,105,0)</f>
        <v>Adiestramiento Equipos</v>
      </c>
      <c r="AQ13" s="8" t="str">
        <f>VLOOKUP($K$9,$W$3:$KV$4,113,0)</f>
        <v>Florete Individual</v>
      </c>
      <c r="AR13" s="8" t="str">
        <f>VLOOKUP($K$9,$W$3:$KV$4,125,0)</f>
        <v>Individual General</v>
      </c>
      <c r="AT13" s="8" t="str">
        <f>VLOOKUP($K$9,$W$3:$KV$4,135,0)</f>
        <v>Aro</v>
      </c>
      <c r="AU13" s="8" t="str">
        <f>VLOOKUP($K$9,$W$3:$KV$4,143,0)</f>
        <v>Sincronizados</v>
      </c>
      <c r="AX13" s="8" t="str">
        <f>VLOOKUP($K$9,$W$3:$KV$4,147,0)</f>
        <v>M -66 Kg</v>
      </c>
      <c r="AY13" s="8" t="str">
        <f>VLOOKUP($K$9,$W$3:$KV$4,162,0)</f>
        <v>Kumite M -67 Kg</v>
      </c>
      <c r="AZ13" s="8" t="str">
        <f>VLOOKUP($K$9,$W$3:$KV$4,212,0)</f>
        <v>Relevos</v>
      </c>
      <c r="BC13" s="8" t="str">
        <f>VLOOKUP($K$9,$W$3:$KV$4,208,0)</f>
        <v>Pelota goma – Individual (Frontón)</v>
      </c>
      <c r="BD13" s="8" t="str">
        <f>VLOOKUP($K$9,$W$3:$KV$4,219,0)</f>
        <v>M2x</v>
      </c>
      <c r="BE13" s="8" t="str">
        <f>VLOOKUP($K$9,$W$3:$KV$4,215,0)</f>
        <v>Dobles</v>
      </c>
      <c r="BG13" s="8" t="str">
        <f>VLOOKUP($K$9,$W$3:$KV$4,276,0)</f>
        <v>Bote (Ilca 7)</v>
      </c>
      <c r="BI13" s="8" t="str">
        <f>VLOOKUP($K$9,$W$3:$KV$4,264,0)</f>
        <v>10m Rifle De Aire</v>
      </c>
      <c r="BJ13" s="8" t="str">
        <f>VLOOKUP($K$9,$W$3:$KV$4,206,0)</f>
        <v>Park</v>
      </c>
      <c r="BK13" s="8" t="str">
        <f>VLOOKUP($K$9,$W$3:$KV$4,233,0)</f>
        <v>Equipos</v>
      </c>
      <c r="BL13" s="8" t="str">
        <f>VLOOKUP($K$9,$W$3:$KV$4,237,0)</f>
        <v>Sup Surf</v>
      </c>
      <c r="BM13" s="8" t="str">
        <f>VLOOKUP($K$9,$W$3:$KV$4,202,0)</f>
        <v>500m + Distancia</v>
      </c>
      <c r="BN13" s="8" t="str">
        <f>VLOOKUP($K$9,$W$3:$KV$4,26,0)</f>
        <v>Equipos</v>
      </c>
      <c r="BO13" s="8" t="str">
        <f>VLOOKUP($K$9,$W$3:$KV$4,8,0)</f>
        <v>100m libre</v>
      </c>
      <c r="BP13" s="8" t="str">
        <f>VLOOKUP($K$9,$W$3:$KV$4,251,0)</f>
        <v>Dobles</v>
      </c>
      <c r="BQ13" s="8" t="str">
        <f>VLOOKUP($K$9,$W$3:$KV$4,241,0)</f>
        <v>M Kyorugi -68 Kg</v>
      </c>
      <c r="BR13" s="8" t="str">
        <f>VLOOKUP($K$9,$W$3:$KV$4,274,0)</f>
        <v>Relevos Mixtos</v>
      </c>
      <c r="BS13" s="8" t="str">
        <f>VLOOKUP($K$9,$W$3:$KV$4,254,0)</f>
        <v>Equipos</v>
      </c>
      <c r="BV13" s="8" t="str">
        <f>VLOOKUP($K$9,$W$3:$KV$4,173,0)</f>
        <v>M 73 Kg</v>
      </c>
      <c r="BX13" s="8" t="str">
        <f>VLOOKUP($K$9,$W$3:$KV$4,183,0)</f>
        <v>Grecoromana 67 Kg</v>
      </c>
      <c r="BY13" s="8" t="str">
        <f>VLOOKUP($K$9,$W$3:$KV$4,119,0)</f>
        <v>Slalom</v>
      </c>
      <c r="BZ13" s="8" t="str">
        <f>VLOOKUP($K$9,$W$3:$KX$4,288,0)</f>
        <v>Femenino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2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VLOOKUP($K$9,$W$3:$KV$4,259,0)</f>
        <v>Equipo Recurvo</v>
      </c>
      <c r="Z14" s="8" t="str">
        <f>VLOOKUP($K$9,$W$3:$KV$4,32,0)</f>
        <v>400m</v>
      </c>
      <c r="AB14" s="8" t="str">
        <f>VLOOKUP($K$9,$W$3:$KV$4,58,0)</f>
        <v>Dobles Mixto</v>
      </c>
      <c r="AH14" s="8"/>
      <c r="AK14" s="8" t="str">
        <f>VLOOKUP($K$9,$W$3:$KV$4,92,0)</f>
        <v>K1 Extreme</v>
      </c>
      <c r="AL14" s="8" t="str">
        <f>VLOOKUP($K$9,$W$3:$KV$4,82,0)</f>
        <v>MK4 500m</v>
      </c>
      <c r="AM14" s="8" t="str">
        <f>VLOOKUP($K$9,$W$3:$KV$4,100,0)</f>
        <v>Omnium</v>
      </c>
      <c r="AN14" s="8" t="str">
        <f>VLOOKUP($K$9,$W$3:$KV$4,4,0)</f>
        <v>Individual 10m Plataforma</v>
      </c>
      <c r="AO14" s="8" t="str">
        <f>VLOOKUP($K$9,$W$3:$KV$4,106,0)</f>
        <v>Evento Completo Individual</v>
      </c>
      <c r="AQ14" s="8" t="str">
        <f>VLOOKUP($K$9,$W$3:$KV$4,114,0)</f>
        <v>Sable Individual</v>
      </c>
      <c r="AR14" s="8" t="str">
        <f>VLOOKUP($K$9,$W$3:$KV$4,126,0)</f>
        <v>Suelo</v>
      </c>
      <c r="AT14" s="8" t="str">
        <f>VLOOKUP($K$9,$W$3:$KV$4,136,0)</f>
        <v>Pelota</v>
      </c>
      <c r="AX14" s="8" t="str">
        <f>VLOOKUP($K$9,$W$3:$KV$4,148,0)</f>
        <v>M -73 Kg</v>
      </c>
      <c r="AY14" s="8" t="str">
        <f>VLOOKUP($K$9,$W$3:$KV$4,163,0)</f>
        <v>Kumite M -75 Kg</v>
      </c>
      <c r="AZ14" s="8" t="str">
        <f>VLOOKUP($K$9,$W$3:$KV$4,213,0)</f>
        <v>Relevos Mixtos</v>
      </c>
      <c r="BC14" s="8" t="str">
        <f>VLOOKUP($K$9,$W$3:$KV$4,209,0)</f>
        <v>Frontenis -Dobles (Frontón)</v>
      </c>
      <c r="BD14" s="8" t="str">
        <f>VLOOKUP($K$9,$W$3:$KV$4,220,0)</f>
        <v>M4x</v>
      </c>
      <c r="BE14" s="8" t="str">
        <f>VLOOKUP($K$9,$W$3:$KV$4,216,0)</f>
        <v>Equipos</v>
      </c>
      <c r="BG14" s="8" t="str">
        <f>VLOOKUP($K$9,$W$3:$KV$4,277,0)</f>
        <v>Bote (Ilca 6)</v>
      </c>
      <c r="BI14" s="8" t="str">
        <f>VLOOKUP($K$9,$W$3:$KV$4,265,0)</f>
        <v>10m Pistola De Aire</v>
      </c>
      <c r="BK14" s="8" t="str">
        <f>VLOOKUP($K$9,$W$3:$KV$4,234,0)</f>
        <v>Dobles</v>
      </c>
      <c r="BL14" s="8" t="str">
        <f>VLOOKUP($K$9,$W$3:$KV$4,238,0)</f>
        <v>Sup Race</v>
      </c>
      <c r="BM14" s="8" t="str">
        <f>VLOOKUP($K$9,$W$3:$KV$4,203,0)</f>
        <v>10000m Eliminación</v>
      </c>
      <c r="BO14" s="8" t="str">
        <f>VLOOKUP($K$9,$W$3:$KV$4,9,0)</f>
        <v>200m libre</v>
      </c>
      <c r="BP14" s="8" t="str">
        <f>VLOOKUP($K$9,$W$3:$KV$4,252,0)</f>
        <v>Dobles Mixtos</v>
      </c>
      <c r="BQ14" s="8" t="str">
        <f>VLOOKUP($K$9,$W$3:$KV$4,242,0)</f>
        <v>M Kyorugi -80 Kg</v>
      </c>
      <c r="BS14" s="8" t="str">
        <f>VLOOKUP($K$9,$W$3:$KV$4,255,0)</f>
        <v>Dobles</v>
      </c>
      <c r="BV14" s="8" t="str">
        <f>VLOOKUP($K$9,$W$3:$KV$4,174,0)</f>
        <v>M 89 Kg</v>
      </c>
      <c r="BX14" s="8" t="str">
        <f>VLOOKUP($K$9,$W$3:$KV$4,184,0)</f>
        <v>Grecoromana 77 Kg</v>
      </c>
      <c r="BY14" s="8" t="str">
        <f>VLOOKUP($K$9,$W$3:$KV$4,120,0)</f>
        <v>Salto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34"/>
      <c r="K15" s="34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VLOOKUP($K$9,$W$3:$KV$4,260,0)</f>
        <v>Equipo Compuesto</v>
      </c>
      <c r="Z15" s="8" t="str">
        <f>VLOOKUP($K$9,$W$3:$KV$4,33,0)</f>
        <v>800m</v>
      </c>
      <c r="AB15" s="8"/>
      <c r="AK15" s="8"/>
      <c r="AL15" s="8" t="str">
        <f>VLOOKUP($K$9,$W$3:$KV$4,83,0)</f>
        <v>MC1 1,000m</v>
      </c>
      <c r="AM15" s="8" t="str">
        <f>VLOOKUP($K$9,$W$3:$KV$4,101,0)</f>
        <v>Velocidad Equipos</v>
      </c>
      <c r="AN15" s="8" t="str">
        <f>VLOOKUP($K$9,$W$3:$KV$4,5,0)</f>
        <v>Sincronizados 3m Trampolín</v>
      </c>
      <c r="AO15" s="8" t="str">
        <f>VLOOKUP($K$9,$W$3:$KV$4,107,0)</f>
        <v>Evento Completo Equipos</v>
      </c>
      <c r="AQ15" s="8" t="str">
        <f>VLOOKUP($K$9,$W$3:$KV$4,115,0)</f>
        <v>Espada Equipos</v>
      </c>
      <c r="AR15" s="8" t="str">
        <f>VLOOKUP($K$9,$W$3:$KV$4,127,0)</f>
        <v>Caballo Con Arzones</v>
      </c>
      <c r="AT15" s="8" t="str">
        <f>VLOOKUP($K$9,$W$3:$KV$4,137,0)</f>
        <v>Mazas</v>
      </c>
      <c r="AX15" s="8" t="str">
        <f>VLOOKUP($K$9,$W$3:$KV$4,149,0)</f>
        <v>M -81 Kg</v>
      </c>
      <c r="AY15" s="8" t="str">
        <f>VLOOKUP($K$9,$W$3:$KV$4,164,0)</f>
        <v>Kumite M -84 Kg</v>
      </c>
      <c r="BC15" s="8" t="str">
        <f>VLOOKUP($K$9,$W$3:$KV$4,210,0)</f>
        <v>Frontball</v>
      </c>
      <c r="BD15" s="8" t="str">
        <f>VLOOKUP($K$9,$W$3:$KV$4,221,0)</f>
        <v>M2-</v>
      </c>
      <c r="BE15" s="8" t="str">
        <f>VLOOKUP($K$9,$W$3:$KV$4,217,0)</f>
        <v>Dobles Mixtos</v>
      </c>
      <c r="BG15" s="8" t="str">
        <f>VLOOKUP($K$9,$W$3:$KV$4,278,0)</f>
        <v>Bote (Sunfish)</v>
      </c>
      <c r="BI15" s="8" t="str">
        <f>VLOOKUP($K$9,$W$3:$KV$4,266,0)</f>
        <v>25m Pistola De Fuego Rapido</v>
      </c>
      <c r="BK15" s="8" t="str">
        <f>VLOOKUP($K$9,$W$3:$KV$4,235,0)</f>
        <v>Dobles Mixtos</v>
      </c>
      <c r="BL15" s="8" t="str">
        <f>VLOOKUP($K$9,$W$3:$KV$4,239,0)</f>
        <v>Longboard</v>
      </c>
      <c r="BM15" s="8" t="str">
        <f>VLOOKUP($K$9,$W$3:$KV$4,204,0)</f>
        <v>1000m Sprint</v>
      </c>
      <c r="BO15" s="8" t="str">
        <f>VLOOKUP($K$9,$W$3:$KV$4,10,0)</f>
        <v>400m libre</v>
      </c>
      <c r="BQ15" s="8" t="str">
        <f>VLOOKUP($K$9,$W$3:$KV$4,243,0)</f>
        <v>M Kyorugi +80 Kg</v>
      </c>
      <c r="BS15" s="8" t="str">
        <f>VLOOKUP($K$9,$W$3:$KV$4,256,0)</f>
        <v>Dobles Mixtos</v>
      </c>
      <c r="BV15" s="8" t="str">
        <f>VLOOKUP($K$9,$W$3:$KV$4,175,0)</f>
        <v>M 102 Kg</v>
      </c>
      <c r="BX15" s="8" t="str">
        <f>VLOOKUP($K$9,$W$3:$KV$4,185,0)</f>
        <v>Grecoromana 87 Kg</v>
      </c>
      <c r="BY15" s="8" t="str">
        <f>VLOOKUP($K$9,$W$3:$KV$4,121,0)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2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VLOOKUP($K$9,$W$3:$KV$4,261,0)</f>
        <v>Equipo Recurvo Mixto</v>
      </c>
      <c r="Z16" s="8" t="str">
        <f>VLOOKUP($K$9,$W$3:$KV$4,34,0)</f>
        <v>1500m</v>
      </c>
      <c r="AK16" s="8"/>
      <c r="AL16" s="8" t="str">
        <f>VLOOKUP($K$9,$W$3:$KV$4,84,0)</f>
        <v>MC2 500m</v>
      </c>
      <c r="AM16" s="8" t="str">
        <f>VLOOKUP($K$9,$W$3:$KV$4,102,0)</f>
        <v>Persecución Equipos</v>
      </c>
      <c r="AN16" s="8" t="str">
        <f>VLOOKUP($K$9,$W$3:$KV$4,6,0)</f>
        <v>Sincronizados 10m Plataforma</v>
      </c>
      <c r="AO16" s="8" t="str">
        <f>VLOOKUP($K$9,$W$3:$KV$4,108,0)</f>
        <v>Salto Individual</v>
      </c>
      <c r="AQ16" s="8" t="str">
        <f>VLOOKUP($K$9,$W$3:$KV$4,116,0)</f>
        <v>Florete Equipos</v>
      </c>
      <c r="AR16" s="8" t="str">
        <f>VLOOKUP($K$9,$W$3:$KV$4,128,0)</f>
        <v>Anillas</v>
      </c>
      <c r="AT16" s="8" t="str">
        <f>VLOOKUP($K$9,$W$3:$KV$4,138,0)</f>
        <v>Cinta</v>
      </c>
      <c r="AX16" s="8" t="str">
        <f>VLOOKUP($K$9,$W$3:$KV$4,150,0)</f>
        <v>M -90 Kg</v>
      </c>
      <c r="AY16" s="8" t="str">
        <f>VLOOKUP($K$9,$W$3:$KV$4,165,0)</f>
        <v>Kumite M +84 Kg</v>
      </c>
      <c r="BD16" s="8" t="str">
        <f>VLOOKUP($K$9,$W$3:$KV$4,222,0)</f>
        <v>M4-</v>
      </c>
      <c r="BE16" s="8"/>
      <c r="BG16" s="8" t="str">
        <f>VLOOKUP($K$9,$W$3:$KV$4,279,0)</f>
        <v>Skiff (49Er)</v>
      </c>
      <c r="BI16" s="8" t="str">
        <f>VLOOKUP($K$9,$W$3:$KV$4,267,0)</f>
        <v>25m Pistola Deportiva</v>
      </c>
      <c r="BL16" s="8"/>
      <c r="BO16" s="8" t="str">
        <f>VLOOKUP($K$9,$W$3:$KV$4,11,0)</f>
        <v>800m libre</v>
      </c>
      <c r="BQ16" s="8" t="str">
        <f>VLOOKUP($K$9,$W$3:$KV$4,244,0)</f>
        <v>F Kyorugi -49 Kg</v>
      </c>
      <c r="BV16" s="8" t="str">
        <f>VLOOKUP($K$9,$W$3:$KV$4,176,0)</f>
        <v>M +102 Kg</v>
      </c>
      <c r="BX16" s="8" t="str">
        <f>VLOOKUP($K$9,$W$3:$KV$4,186,0)</f>
        <v>Grecoromana 97 Kg</v>
      </c>
      <c r="BY16" s="8" t="str">
        <f>VLOOKUP($K$9,$W$3:$KV$4,122,0)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34"/>
      <c r="K17" s="34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VLOOKUP($K$9,$W$3:$KV$4,262,0)</f>
        <v>Equipo Compuesto Mixto</v>
      </c>
      <c r="Z17" s="8" t="str">
        <f>VLOOKUP($K$9,$W$3:$KV$4,3,0)</f>
        <v>Individual 3m Trampolín</v>
      </c>
      <c r="AL17" s="8" t="str">
        <f>VLOOKUP($K$9,$W$3:$KV$4,85,0)</f>
        <v>WK1 500m</v>
      </c>
      <c r="AM17" s="8" t="str">
        <f>VLOOKUP($K$9,$W$3:$KV$4,103,0)</f>
        <v>Madison</v>
      </c>
      <c r="AO17" s="8" t="str">
        <f>VLOOKUP($K$9,$W$3:$KV$4,109,0)</f>
        <v>Salto Equipos</v>
      </c>
      <c r="AQ17" s="8" t="str">
        <f>VLOOKUP($K$9,$W$3:$KV$4,117,0)</f>
        <v>Sable Equipos</v>
      </c>
      <c r="AR17" s="8" t="str">
        <f>VLOOKUP($K$9,$W$3:$KV$4,129,0)</f>
        <v>Salto</v>
      </c>
      <c r="AT17" s="8" t="str">
        <f>VLOOKUP($K$9,$W$3:$KV$4,139,0)</f>
        <v>General De Conjuntos</v>
      </c>
      <c r="AX17" s="8" t="str">
        <f>VLOOKUP($K$9,$W$3:$KV$4,151,0)</f>
        <v>M -100 Kg</v>
      </c>
      <c r="AY17" s="8" t="str">
        <f>VLOOKUP($K$9,$W$3:$KV$4,166,0)</f>
        <v>Kumite F -50 Kg</v>
      </c>
      <c r="BD17" s="8" t="str">
        <f>VLOOKUP($K$9,$W$3:$KV$4,223,0)</f>
        <v>LM2x</v>
      </c>
      <c r="BG17" s="8" t="str">
        <f>VLOOKUP($K$9,$W$3:$KV$4,280,0)</f>
        <v>Skiff (49Er Fx)</v>
      </c>
      <c r="BI17" s="8" t="str">
        <f>VLOOKUP($K$9,$W$3:$KV$4,268,0)</f>
        <v>Skeet</v>
      </c>
      <c r="BO17" s="8" t="str">
        <f>VLOOKUP($K$9,$W$3:$KV$4,12,0)</f>
        <v>1.500m libre</v>
      </c>
      <c r="BQ17" s="8" t="str">
        <f>VLOOKUP($K$9,$W$3:$KV$4,245,0)</f>
        <v>F Kyorugi -57 Kg</v>
      </c>
      <c r="BV17" s="8" t="str">
        <f>VLOOKUP($K$9,$W$3:$KV$4,177,0)</f>
        <v>F 49 Kg</v>
      </c>
      <c r="BX17" s="8" t="str">
        <f>VLOOKUP($K$9,$W$3:$KV$4,187,0)</f>
        <v>Grecoromana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2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VLOOKUP($K$9,$W$3:$KV$4,35,0)</f>
        <v>5000m</v>
      </c>
      <c r="AL18" s="8" t="str">
        <f>VLOOKUP($K$9,$W$3:$KV$4,86,0)</f>
        <v>WK2 500m</v>
      </c>
      <c r="AR18" s="8" t="str">
        <f>VLOOKUP($K$9,$W$3:$KV$4,130,0)</f>
        <v>Barras Paralelas</v>
      </c>
      <c r="AT18" s="8" t="str">
        <f>VLOOKUP($K$9,$W$3:$KV$4,140,0)</f>
        <v>5 Aros</v>
      </c>
      <c r="AX18" s="8" t="str">
        <f>VLOOKUP($K$9,$W$3:$KV$4,152,0)</f>
        <v>M +100 Kg</v>
      </c>
      <c r="AY18" s="8" t="str">
        <f>VLOOKUP($K$9,$W$3:$KV$4,167,0)</f>
        <v>Kumite F -55 Kg</v>
      </c>
      <c r="BD18" s="8" t="str">
        <f>VLOOKUP($K$9,$W$3:$KV$4,224,0)</f>
        <v>W1x</v>
      </c>
      <c r="BG18" s="8" t="str">
        <f>VLOOKUP($K$9,$W$3:$KV$4,281,0)</f>
        <v>Kite (Fomula Kite)</v>
      </c>
      <c r="BI18" s="8" t="str">
        <f>VLOOKUP($K$9,$W$3:$KV$4,269,0)</f>
        <v>Trap</v>
      </c>
      <c r="BO18" s="8" t="str">
        <f>VLOOKUP($K$9,$W$3:$KV$4,13,0)</f>
        <v>100m espalda</v>
      </c>
      <c r="BQ18" s="8" t="str">
        <f>VLOOKUP($K$9,$W$3:$KV$4,246,0)</f>
        <v>F Kyorugi -67 Kg</v>
      </c>
      <c r="BV18" s="8" t="str">
        <f>VLOOKUP($K$9,$W$3:$KV$4,178,0)</f>
        <v>F 59 Kg</v>
      </c>
      <c r="BX18" s="8" t="str">
        <f>VLOOKUP($K$9,$W$3:$KV$4,188,0)</f>
        <v>Libre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34"/>
      <c r="K19" s="34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VLOOKUP($K$9,$W$3:$KV$4,36,0)</f>
        <v>10000m</v>
      </c>
      <c r="AL19" s="8" t="str">
        <f>VLOOKUP($K$9,$W$3:$KV$4,87,0)</f>
        <v>WK4 500M</v>
      </c>
      <c r="AR19" s="8" t="str">
        <f>VLOOKUP($K$9,$W$3:$KV$4,131,0)</f>
        <v>Barra Fija</v>
      </c>
      <c r="AT19" s="8" t="str">
        <f>VLOOKUP($K$9,$W$3:$KV$4,141,0)</f>
        <v>3 Cintas/2 Pelotas</v>
      </c>
      <c r="AX19" s="8" t="str">
        <f>VLOOKUP($K$9,$W$3:$KV$4,153,0)</f>
        <v>F -48 Kg</v>
      </c>
      <c r="AY19" s="8" t="str">
        <f>VLOOKUP($K$9,$W$3:$KV$4,168,0)</f>
        <v>Kumite F -61 Kg</v>
      </c>
      <c r="BD19" s="8" t="str">
        <f>VLOOKUP($K$9,$W$3:$KV$4,225,0)</f>
        <v>W2x</v>
      </c>
      <c r="BG19" s="8" t="str">
        <f>VLOOKUP($K$9,$W$3:$KV$4,282,0)</f>
        <v>Mixto Catamarán (Nacra 17)</v>
      </c>
      <c r="BI19" s="8" t="str">
        <f>VLOOKUP($K$9,$W$3:$KV$4,270,0)</f>
        <v>Mixto 10m Rifle De Aire</v>
      </c>
      <c r="BO19" s="8" t="str">
        <f>VLOOKUP($K$9,$W$3:$KV$4,14,0)</f>
        <v>200m espalda</v>
      </c>
      <c r="BQ19" s="8" t="str">
        <f>VLOOKUP($K$9,$W$3:$KV$4,247,0)</f>
        <v>F Kyorugi +67 Kg</v>
      </c>
      <c r="BV19" s="8" t="str">
        <f>VLOOKUP($K$9,$W$3:$KV$4,179,0)</f>
        <v>F 71 Kg</v>
      </c>
      <c r="BX19" s="8" t="str">
        <f>VLOOKUP($K$9,$W$3:$KV$4,189,0)</f>
        <v>Libre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2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VLOOKUP($K$9,$W$3:$KV$4,37,0)</f>
        <v>110 / 100 vallas</v>
      </c>
      <c r="AL20" s="8" t="str">
        <f>VLOOKUP($K$9,$W$3:$KV$4,88,0)</f>
        <v>WC1 200m</v>
      </c>
      <c r="AR20" s="8" t="str">
        <f>VLOOKUP($K$9,$W$3:$KV$4,132,0)</f>
        <v>Barras Asimétricas</v>
      </c>
      <c r="AX20" s="8" t="str">
        <f>VLOOKUP($K$9,$W$3:$KV$4,154,0)</f>
        <v>F -52 Kg</v>
      </c>
      <c r="AY20" s="8" t="str">
        <f>VLOOKUP($K$9,$W$3:$KV$4,169,0)</f>
        <v>Kumite F -68 Kg </v>
      </c>
      <c r="BD20" s="8" t="str">
        <f>VLOOKUP($K$9,$W$3:$KV$4,226,0)</f>
        <v>W4x</v>
      </c>
      <c r="BG20" s="8" t="str">
        <f>VLOOKUP($K$9,$W$3:$KV$4,283,0)</f>
        <v>Mixto Bote (Snipe)</v>
      </c>
      <c r="BI20" s="8" t="str">
        <f>VLOOKUP($K$9,$W$3:$KV$4,271,0)</f>
        <v>Mixto 10m Pistola De Aire</v>
      </c>
      <c r="BO20" s="8" t="str">
        <f>VLOOKUP($K$9,$W$3:$KV$4,15,0)</f>
        <v>100m pecho</v>
      </c>
      <c r="BQ20" s="8" t="str">
        <f>VLOOKUP($K$9,$W$3:$KV$4,248,0)</f>
        <v>Poomsae Tradicional Individual</v>
      </c>
      <c r="BV20" s="8" t="str">
        <f>VLOOKUP($K$9,$W$3:$KV$4,180,0)</f>
        <v>F 81 Kg</v>
      </c>
      <c r="BX20" s="8" t="str">
        <f>VLOOKUP($K$9,$W$3:$KV$4,190,0)</f>
        <v>Libre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VLOOKUP($K$9,$W$3:$KV$4,38,0)</f>
        <v>400 Vallas</v>
      </c>
      <c r="AL21" s="8" t="str">
        <f>VLOOKUP($K$9,$W$3:$KV$4,89,0)</f>
        <v>WC2 500m</v>
      </c>
      <c r="AR21" s="8" t="str">
        <f>VLOOKUP($K$9,$W$3:$KV$4,133,0)</f>
        <v>Viga De Equilibrio</v>
      </c>
      <c r="AX21" s="8" t="str">
        <f>VLOOKUP($K$9,$W$3:$KV$4,155,0)</f>
        <v>F -57 Kg</v>
      </c>
      <c r="AY21" s="8" t="str">
        <f>VLOOKUP($K$9,$W$3:$KV$4,170,0)</f>
        <v>Kumite F +68 Kg</v>
      </c>
      <c r="BD21" s="8" t="str">
        <f>VLOOKUP($K$9,$W$3:$KV$4,227,0)</f>
        <v>W2-</v>
      </c>
      <c r="BG21" s="8" t="str">
        <f>VLOOKUP($K$9,$W$3:$KV$4,284,0)</f>
        <v>Mixto Bote (Lightning)</v>
      </c>
      <c r="BI21" s="8" t="str">
        <f>VLOOKUP($K$9,$W$3:$KV$4,272,0)</f>
        <v>Mixto Skeet</v>
      </c>
      <c r="BO21" s="8" t="str">
        <f>VLOOKUP($K$9,$W$3:$KV$4,16,0)</f>
        <v>200m pecho</v>
      </c>
      <c r="BQ21" s="8" t="str">
        <f>VLOOKUP($K$9,$W$3:$KV$4,249,0)</f>
        <v>Poomsae Parejas Libres</v>
      </c>
      <c r="BV21" s="8" t="str">
        <f>VLOOKUP($K$9,$W$3:$KV$4,181,0)</f>
        <v>F +81 Kg</v>
      </c>
      <c r="BX21" s="8" t="str">
        <f>VLOOKUP($K$9,$W$3:$KV$4,191,0)</f>
        <v>Libre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2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VLOOKUP($K$9,$W$3:$KV$4,39,0)</f>
        <v>3000 con obstáculos</v>
      </c>
      <c r="AX22" s="8" t="str">
        <f>VLOOKUP($K$9,$W$3:$KV$4,156,0)</f>
        <v>F -63 Kg</v>
      </c>
      <c r="AY22" s="8" t="str">
        <f>VLOOKUP($K$9,$W$3:$KV$4,171,0)</f>
        <v>Kata</v>
      </c>
      <c r="BD22" s="8" t="str">
        <f>VLOOKUP($K$9,$W$3:$KV$4,228,0)</f>
        <v>W4-</v>
      </c>
      <c r="BG22" s="8"/>
      <c r="BO22" s="8" t="str">
        <f>VLOOKUP($K$9,$W$3:$KV$4,17,0)</f>
        <v>100m mariposa</v>
      </c>
      <c r="BX22" s="8" t="str">
        <f>VLOOKUP($K$9,$W$3:$KV$4,192,0)</f>
        <v>Libre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34"/>
      <c r="K23" s="34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VLOOKUP($K$9,$W$3:$KV$4,40,0)</f>
        <v>4x100m</v>
      </c>
      <c r="AX23" s="8" t="str">
        <f>VLOOKUP($K$9,$W$3:$KV$4,157,0)</f>
        <v>F -70 Kg</v>
      </c>
      <c r="BD23" s="8" t="str">
        <f>VLOOKUP($K$9,$W$3:$KV$4,229,0)</f>
        <v>LW2x</v>
      </c>
      <c r="BG23" s="8"/>
      <c r="BO23" s="8" t="str">
        <f t="shared" ref="BO23:BO24" si="1">VLOOKUP($K$9,$W$3:$KV$4,18,0)</f>
        <v>200m mariposa</v>
      </c>
      <c r="BX23" s="8" t="str">
        <f>VLOOKUP($K$9,$W$3:$KV$4,193,0)</f>
        <v>Libre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2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VLOOKUP($K$9,$W$3:$KV$4,41,0)</f>
        <v>4x400m</v>
      </c>
      <c r="AX24" s="8" t="str">
        <f>VLOOKUP($K$9,$W$3:$KV$4,158,0)</f>
        <v>F -78 Kg</v>
      </c>
      <c r="BD24" s="8" t="str">
        <f>VLOOKUP($K$9,$W$3:$KV$4,230,0)</f>
        <v>Mixto 8+</v>
      </c>
      <c r="BO24" s="8" t="str">
        <f t="shared" si="1"/>
        <v>200m mariposa</v>
      </c>
      <c r="BX24" s="8" t="str">
        <f>VLOOKUP($K$9,$W$3:$KV$4,194,0)</f>
        <v>Libre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34"/>
      <c r="J25" s="34"/>
      <c r="K25" s="34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VLOOKUP($K$9,$W$3:$KV$4,42,0)</f>
        <v>Salto de Altura</v>
      </c>
      <c r="AX25" s="8" t="str">
        <f>VLOOKUP($K$9,$W$3:$KV$4,159,0)</f>
        <v>F +78 Kg</v>
      </c>
      <c r="BO25" s="8" t="str">
        <f>VLOOKUP($K$9,$W$3:$KV$4,19,0)</f>
        <v>200m combinado individual</v>
      </c>
      <c r="BX25" s="8" t="str">
        <f>VLOOKUP($K$9,$W$3:$KV$4,195,0)</f>
        <v>Libre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2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VLOOKUP($K$9,$W$3:$KV$4,43,0)</f>
        <v>Salto de Longitud</v>
      </c>
      <c r="AX26" s="8" t="str">
        <f>VLOOKUP($K$9,$W$3:$KV$4,160,0)</f>
        <v>Equipo  mixto</v>
      </c>
      <c r="BO26" s="8" t="str">
        <f>VLOOKUP($K$9,$W$3:$KV$4,20,0)</f>
        <v>400m combinado individual</v>
      </c>
      <c r="BX26" s="8" t="str">
        <f>VLOOKUP($K$9,$W$3:$KV$4,196,0)</f>
        <v>Libre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29"/>
      <c r="K27" s="29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VLOOKUP($K$9,$W$3:$KV$4,44,0)</f>
        <v>Salto Triple</v>
      </c>
      <c r="BO27" s="8" t="str">
        <f>VLOOKUP($K$9,$W$3:$KV$4,21,0)</f>
        <v>4 x 100m posta libre</v>
      </c>
      <c r="BX27" s="8" t="str">
        <f>VLOOKUP($K$9,$W$3:$KV$4,197,0)</f>
        <v>Libre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2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VLOOKUP($K$9,$W$3:$KV$4,45,0)</f>
        <v>Salto con Pérdiga</v>
      </c>
      <c r="BO28" s="8" t="str">
        <f>VLOOKUP($K$9,$W$3:$KV$4,22,0)</f>
        <v>4 x 200m posta libre</v>
      </c>
      <c r="BX28" s="8" t="str">
        <f>VLOOKUP($K$9,$W$3:$KV$4,198,0)</f>
        <v>Libre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34"/>
      <c r="J29" s="34"/>
      <c r="K29" s="34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VLOOKUP($K$9,$W$3:$KV$4,46,0)</f>
        <v>Lanzamiento de Bala</v>
      </c>
      <c r="BO29" s="8" t="str">
        <f>VLOOKUP($K$9,$W$3:$KV$4,23,0)</f>
        <v>4 x 100m posta combinada</v>
      </c>
      <c r="BX29" s="8" t="str">
        <f>VLOOKUP($K$9,$W$3:$KV$4,199,0)</f>
        <v>Libre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32"/>
      <c r="K30" s="32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VLOOKUP($K$9,$W$3:$KV$4,47,0)</f>
        <v>Lanzamiento de Disco</v>
      </c>
      <c r="BO30" s="8" t="str">
        <f>VLOOKUP($K$9,$W$3:$KV$4,24,0)</f>
        <v>Mixto 4 x 100m posta libre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34"/>
      <c r="J31" s="34"/>
      <c r="K31" s="34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VLOOKUP($K$9,$W$3:$KV$4,48,0)</f>
        <v>Lanzamiento de Jabalina</v>
      </c>
      <c r="BO31" s="8" t="str">
        <f>VLOOKUP($K$9,$W$3:$KV$4,25,0)</f>
        <v>Mixto 4 x 100m posta combinada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32"/>
      <c r="K32" s="32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VLOOKUP($K$9,$W$3:$KV$4,49,0)</f>
        <v>Lanzamiento de Martillo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29"/>
      <c r="K33" s="29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VLOOKUP($K$9,$W$3:$KV$4,50,0)</f>
        <v>20 km marcha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32"/>
      <c r="K34" s="32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VLOOKUP($K$9,$W$3:$KV$4,51,0)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VLOOKUP($K$9,$W$3:$KV$4,52,0)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VLOOKUP($K$9,$W$3:$KV$4,53,0)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VLOOKUP($K$9,$W$3:$KV$4,54,0)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VLOOKUP($K$9,$W$3:$KV$4,55,0)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4"/>
      <c r="K44" s="1"/>
      <c r="L44" s="5"/>
      <c r="M44" s="5"/>
      <c r="N44" s="5"/>
      <c r="O44" s="5"/>
      <c r="P44" s="5"/>
      <c r="Q44" s="5"/>
      <c r="R44" s="5"/>
      <c r="S44" s="1"/>
      <c r="T44" s="1"/>
      <c r="U44" s="1"/>
      <c r="V44" s="1"/>
      <c r="W44" s="12"/>
      <c r="X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4"/>
      <c r="K45" s="1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2"/>
      <c r="X45" s="1"/>
    </row>
  </sheetData>
  <mergeCells count="3">
    <mergeCell ref="B1:C1"/>
    <mergeCell ref="D3:D4"/>
    <mergeCell ref="D5:D7"/>
  </mergeCells>
  <dataValidations>
    <dataValidation type="list" allowBlank="1" showErrorMessage="1" sqref="K9">
      <formula1>"Español,English"</formula1>
    </dataValidation>
    <dataValidation type="list" allowBlank="1" showErrorMessage="1" sqref="F11:F34">
      <formula1>BKB!$AD$12</formula1>
    </dataValidation>
    <dataValidation type="list" allowBlank="1" showErrorMessage="1" sqref="E11:E34">
      <formula1>'BK3'!$BZ$12:$BZ$13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