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MF" sheetId="1" r:id="rId4"/>
  </sheets>
  <definedNames/>
  <calcPr/>
</workbook>
</file>

<file path=xl/sharedStrings.xml><?xml version="1.0" encoding="utf-8"?>
<sst xmlns="http://schemas.openxmlformats.org/spreadsheetml/2006/main" count="1101" uniqueCount="671">
  <si>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</si>
  <si>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</si>
  <si>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</si>
  <si>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</si>
  <si>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</si>
  <si>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</si>
  <si>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</si>
  <si>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</si>
  <si>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</si>
  <si>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</si>
  <si>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</si>
  <si>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</si>
  <si>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</si>
  <si>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</si>
  <si>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</si>
  <si>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</si>
  <si>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</si>
  <si>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</si>
  <si>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</si>
  <si>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</si>
  <si>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</si>
  <si>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</si>
  <si>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</si>
  <si>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</si>
  <si>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</si>
  <si>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</si>
  <si>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</si>
  <si>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</si>
  <si>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</si>
  <si>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</si>
  <si>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</si>
  <si>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</si>
  <si>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</si>
  <si>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</si>
  <si>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</si>
  <si>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</si>
  <si>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</si>
  <si>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</si>
  <si>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</si>
  <si>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</si>
  <si>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</si>
  <si>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</si>
  <si>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</si>
  <si>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</si>
  <si>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</si>
  <si>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</si>
  <si>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</si>
  <si>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</si>
  <si>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</si>
  <si>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</si>
  <si>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</si>
  <si>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</si>
  <si>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</si>
  <si>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</si>
  <si>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</si>
  <si>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</si>
  <si>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</si>
  <si>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</si>
  <si>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</si>
  <si>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</si>
  <si>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</si>
  <si>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</si>
  <si>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</si>
  <si>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</si>
  <si>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</si>
  <si>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</si>
  <si>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</si>
  <si>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</si>
  <si>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</si>
  <si>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</si>
  <si>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</si>
  <si>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</si>
  <si>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</si>
  <si>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</si>
  <si>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</si>
  <si>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</si>
  <si>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</si>
  <si>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</si>
  <si>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</si>
  <si>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</si>
  <si>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</si>
  <si>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</si>
  <si>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</si>
  <si>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</si>
  <si>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</si>
  <si>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</si>
  <si>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</si>
  <si>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</si>
  <si>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</si>
  <si>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</si>
  <si>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</si>
  <si>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</si>
  <si>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</si>
  <si>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</si>
  <si>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</si>
  <si>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</si>
  <si>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</si>
  <si>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</si>
  <si>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</si>
  <si>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</si>
  <si>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</si>
  <si>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</si>
  <si>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</si>
  <si>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</si>
  <si>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</si>
  <si>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</si>
  <si>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</si>
  <si>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</si>
  <si>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</si>
  <si>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</si>
  <si>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</si>
  <si>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</si>
  <si>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</si>
  <si>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</si>
  <si>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</si>
  <si>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</si>
  <si>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</si>
  <si>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</si>
  <si>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</si>
  <si>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</si>
  <si>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</si>
  <si>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</si>
  <si>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</si>
  <si>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</si>
  <si>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</si>
  <si>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</si>
  <si>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</si>
  <si>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</si>
  <si>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</si>
  <si>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</si>
  <si>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</si>
  <si>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</si>
  <si>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</si>
  <si>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</si>
  <si>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</si>
  <si>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</si>
  <si>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</si>
  <si>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</si>
  <si>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</si>
  <si>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</si>
  <si>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</si>
  <si>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</si>
  <si>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</si>
  <si>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</si>
  <si>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</si>
  <si>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</si>
  <si>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</si>
  <si>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</si>
  <si>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</si>
  <si>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</si>
  <si>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</si>
  <si>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</si>
  <si>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</si>
  <si>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</si>
  <si>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</si>
  <si>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</si>
  <si>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</si>
  <si>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</si>
  <si>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</si>
  <si>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</si>
  <si>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</si>
  <si>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</si>
  <si>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</si>
  <si>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</si>
  <si>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</si>
  <si>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</si>
  <si>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</si>
  <si>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</si>
  <si>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</si>
  <si>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</si>
  <si>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</si>
  <si>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</si>
  <si>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</si>
  <si>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</si>
  <si>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</si>
  <si>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</si>
  <si>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</si>
  <si>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</si>
  <si>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</si>
  <si>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</si>
  <si>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</si>
  <si>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</si>
  <si>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</si>
  <si>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</si>
  <si>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</si>
  <si>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</si>
  <si>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</si>
  <si>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</si>
  <si>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</si>
  <si>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</si>
  <si>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</si>
  <si>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</si>
  <si>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</si>
  <si>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</si>
  <si>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</si>
  <si>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</si>
  <si>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</si>
  <si>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</si>
  <si>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</si>
  <si>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</si>
  <si>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</si>
  <si>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</si>
  <si>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</si>
  <si>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</si>
  <si>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</si>
  <si>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</si>
  <si>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</si>
  <si>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</si>
  <si>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</si>
  <si>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</si>
  <si>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</si>
  <si>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</si>
  <si>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</si>
  <si>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</si>
  <si>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</si>
  <si>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</si>
  <si>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</si>
  <si>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</si>
  <si>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</si>
  <si>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</si>
  <si>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</si>
  <si>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</si>
  <si>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</si>
  <si>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</si>
  <si>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</si>
  <si>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</si>
  <si>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</si>
  <si>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</si>
  <si>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</si>
  <si>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</si>
  <si>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</si>
  <si>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</si>
  <si>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</si>
  <si>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</si>
  <si>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</si>
  <si>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</si>
  <si>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</si>
  <si>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</si>
  <si>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</si>
  <si>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</si>
  <si>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</si>
  <si>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</si>
  <si>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</si>
  <si>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</si>
  <si>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</si>
  <si>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</si>
  <si>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</si>
  <si>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</si>
  <si>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</si>
  <si>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</si>
  <si>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</si>
  <si>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</si>
  <si>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</si>
  <si>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</si>
  <si>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</si>
  <si>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</si>
  <si>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</si>
  <si>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</si>
  <si>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</si>
  <si>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</si>
  <si>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</si>
  <si>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</si>
  <si>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</si>
  <si>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</si>
  <si>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</si>
  <si>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</si>
  <si>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</si>
  <si>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</si>
  <si>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</si>
  <si>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</si>
  <si>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</si>
  <si>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</si>
  <si>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</si>
  <si>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</si>
  <si>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</si>
  <si>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</si>
  <si>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</si>
  <si>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</si>
  <si>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</si>
  <si>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</si>
  <si>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</si>
  <si>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</si>
  <si>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</si>
  <si>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</si>
  <si>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</si>
  <si>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</si>
  <si>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</si>
  <si>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</si>
  <si>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</si>
  <si>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</si>
  <si>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</si>
  <si>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</si>
  <si>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</si>
  <si>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</si>
  <si>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</si>
  <si>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</si>
  <si>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</si>
  <si>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</si>
  <si>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</si>
  <si>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</si>
  <si>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</si>
  <si>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</si>
  <si>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</si>
  <si>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</si>
  <si>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</si>
  <si>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</si>
  <si>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</si>
  <si>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</si>
  <si>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</si>
  <si>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</si>
  <si>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</si>
  <si>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</si>
  <si>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</si>
  <si>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</si>
  <si>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</si>
  <si>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</si>
  <si>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</si>
  <si>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</si>
  <si>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</si>
  <si>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</si>
  <si>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</si>
  <si>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</si>
  <si>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</si>
  <si>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</si>
  <si>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</si>
  <si>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</si>
  <si>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</si>
  <si>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</si>
  <si>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</si>
  <si>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</si>
  <si>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</si>
  <si>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</si>
  <si>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</si>
  <si>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</si>
  <si>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</si>
  <si>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</si>
  <si>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</si>
  <si>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</si>
  <si>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</si>
  <si>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</si>
  <si>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</si>
  <si>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</si>
  <si>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</si>
  <si>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</si>
  <si>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</si>
  <si>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</si>
  <si>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</si>
  <si>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</si>
  <si>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</si>
  <si>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</si>
  <si>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</si>
  <si>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</si>
  <si>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</si>
  <si>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</si>
  <si>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</si>
  <si>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</si>
  <si>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</si>
  <si>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</si>
  <si>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</si>
  <si>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</si>
  <si>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</si>
  <si>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</si>
  <si>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</si>
  <si>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</si>
  <si>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</si>
  <si>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</si>
  <si>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</si>
  <si>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</si>
  <si>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</si>
  <si>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</si>
  <si>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</si>
  <si>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</si>
  <si>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</si>
  <si>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</si>
  <si>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</si>
  <si>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</si>
  <si>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</si>
  <si>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</si>
  <si>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</si>
  <si>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</si>
  <si>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</si>
  <si>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</si>
  <si>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</si>
  <si>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</si>
  <si>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</si>
  <si>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</si>
  <si>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</si>
  <si>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</si>
  <si>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</si>
  <si>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</si>
  <si>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</si>
  <si>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</si>
  <si>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</si>
  <si>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</si>
  <si>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</si>
  <si>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</si>
  <si>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</si>
  <si>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</si>
  <si>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</si>
  <si>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</si>
  <si>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</si>
  <si>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</si>
  <si>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</si>
  <si>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</si>
  <si>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</si>
  <si>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</si>
  <si>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</si>
  <si>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</si>
  <si>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</si>
  <si>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</si>
  <si>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</si>
  <si>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</si>
  <si>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</si>
  <si>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</si>
  <si>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</si>
  <si>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</si>
  <si>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</si>
  <si>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</si>
  <si>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</si>
  <si>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</si>
  <si>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</si>
  <si>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</si>
  <si>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</si>
  <si>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</si>
  <si>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</si>
  <si>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</si>
  <si>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</si>
  <si>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</si>
  <si>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</si>
  <si>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</si>
  <si>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</si>
  <si>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</si>
  <si>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</si>
  <si>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</si>
  <si>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</si>
  <si>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</si>
  <si>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</si>
  <si>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</si>
  <si>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</si>
  <si>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</si>
  <si>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</si>
  <si>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</si>
  <si>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</si>
  <si>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</si>
  <si>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</si>
  <si>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</si>
  <si>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</si>
  <si>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</si>
  <si>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</si>
  <si>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</si>
  <si>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</si>
  <si>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</si>
  <si>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</si>
  <si>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</si>
  <si>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</si>
  <si>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</si>
  <si>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</si>
  <si>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</si>
  <si>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</si>
  <si>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</si>
  <si>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</si>
  <si>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</si>
  <si>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</si>
  <si>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</si>
  <si>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</si>
  <si>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</si>
  <si>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</si>
  <si>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</si>
  <si>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</si>
  <si>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</si>
  <si>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</si>
  <si>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</si>
  <si>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</si>
  <si>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</si>
  <si>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</si>
  <si>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</si>
  <si>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</si>
  <si>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</si>
  <si>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</si>
  <si>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</si>
  <si>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</si>
  <si>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</si>
  <si>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</si>
  <si>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</si>
  <si>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</si>
  <si>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</si>
  <si>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</si>
  <si>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</si>
  <si>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</si>
  <si>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</si>
  <si>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</si>
  <si>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</si>
  <si>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</si>
  <si>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</si>
  <si>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</si>
  <si>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</si>
  <si>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</si>
  <si>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</si>
  <si>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</si>
  <si>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</si>
  <si>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</si>
  <si>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</si>
  <si>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</si>
  <si>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</si>
  <si>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</si>
  <si>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</si>
  <si>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</si>
  <si>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</si>
  <si>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</si>
  <si>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</si>
  <si>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</si>
  <si>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</si>
  <si>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</si>
  <si>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</si>
  <si>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</si>
  <si>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</si>
  <si>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</si>
  <si>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</si>
  <si>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</si>
  <si>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</si>
  <si>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</si>
  <si>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</si>
  <si>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</si>
  <si>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</si>
  <si>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</si>
  <si>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</si>
  <si>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</si>
  <si>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</si>
  <si>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</si>
  <si>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</si>
  <si>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</si>
  <si>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</si>
  <si>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</si>
  <si>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</si>
  <si>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</si>
  <si>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</si>
  <si>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</si>
  <si>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</si>
  <si>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</si>
  <si>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</si>
  <si>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</si>
  <si>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</si>
  <si>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</si>
  <si>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</si>
  <si>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</si>
  <si>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</si>
  <si>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</si>
  <si>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</si>
  <si>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</si>
  <si>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</si>
  <si>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</si>
  <si>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</si>
  <si>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</si>
  <si>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</si>
  <si>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</si>
  <si>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</si>
  <si>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</si>
  <si>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</si>
  <si>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</si>
  <si>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</si>
  <si>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</si>
  <si>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</si>
  <si>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</si>
  <si>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</si>
  <si>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</si>
  <si>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</si>
  <si>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</si>
  <si>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</si>
  <si>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</si>
  <si>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</si>
  <si>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</si>
  <si>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</si>
  <si>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</si>
  <si>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</si>
  <si>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</si>
  <si>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</si>
  <si>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</si>
  <si>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</si>
  <si>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</si>
  <si>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</si>
  <si>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</si>
  <si>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</si>
  <si>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</si>
  <si>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</si>
  <si>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</si>
  <si>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</si>
  <si>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</si>
  <si>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</si>
  <si>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</si>
  <si>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</si>
  <si>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</si>
  <si>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</si>
  <si>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</si>
  <si>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</si>
  <si>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</si>
  <si>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</si>
  <si>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</si>
  <si>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</si>
  <si>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</si>
  <si>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</si>
  <si>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</si>
  <si>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</si>
  <si>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</si>
  <si>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</si>
  <si>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</si>
  <si>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</si>
  <si>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</si>
  <si>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</si>
  <si>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</si>
  <si>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</si>
  <si>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</si>
  <si>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</si>
  <si>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</si>
  <si>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</si>
  <si>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UCI - ID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</si>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</sst>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2" fillId="4" fontId="16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342900</xdr:colOff>
      <xdr:row>0</xdr:row>
      <xdr:rowOff>133350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161925</xdr:colOff>
      <xdr:row>1</xdr:row>
      <xdr:rowOff>19050</xdr:rowOff>
    </xdr:from>
    <xdr:ext cx="1047750" cy="10477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8.38"/>
    <col customWidth="1" min="7" max="8" width="11.63"/>
    <col customWidth="1" min="9" max="9" width="13.0"/>
    <col customWidth="1" min="10" max="10" width="15.75"/>
    <col customWidth="1" min="11" max="11" width="13.0"/>
    <col customWidth="1" hidden="1" min="12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VLOOKUP($J$9,$W$7:$CA$8,57,0)</f>
        <v>Sport Entries Form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VLOOKUP($J$9,$W$7:$BZ$8,10,0)</f>
        <v>BMX Freestyle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149</v>
      </c>
      <c r="AG7" s="12" t="s">
        <v>150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547</v>
      </c>
      <c r="AQ7" s="12" t="s">
        <v>179</v>
      </c>
      <c r="AR7" s="12" t="s">
        <v>548</v>
      </c>
      <c r="AS7" s="12" t="s">
        <v>549</v>
      </c>
      <c r="AT7" s="12" t="s">
        <v>197</v>
      </c>
      <c r="AU7" s="12" t="s">
        <v>550</v>
      </c>
      <c r="AV7" s="12" t="s">
        <v>551</v>
      </c>
      <c r="AW7" s="12" t="s">
        <v>119</v>
      </c>
      <c r="AX7" s="12" t="s">
        <v>198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559</v>
      </c>
      <c r="BG7" s="12" t="s">
        <v>280</v>
      </c>
      <c r="BH7" s="12" t="s">
        <v>560</v>
      </c>
      <c r="BI7" s="12" t="s">
        <v>121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571</v>
      </c>
      <c r="BU7" s="12" t="s">
        <v>322</v>
      </c>
      <c r="BV7" s="12" t="s">
        <v>321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12" t="s">
        <v>576</v>
      </c>
      <c r="CB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149</v>
      </c>
      <c r="AG8" s="12" t="s">
        <v>150</v>
      </c>
      <c r="AH8" s="12" t="s">
        <v>582</v>
      </c>
      <c r="AI8" s="12" t="s">
        <v>540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589</v>
      </c>
      <c r="AQ8" s="12" t="s">
        <v>397</v>
      </c>
      <c r="AR8" s="12" t="s">
        <v>590</v>
      </c>
      <c r="AS8" s="12" t="s">
        <v>591</v>
      </c>
      <c r="AT8" s="12" t="s">
        <v>197</v>
      </c>
      <c r="AU8" s="12" t="s">
        <v>592</v>
      </c>
      <c r="AV8" s="12" t="s">
        <v>593</v>
      </c>
      <c r="AW8" s="12" t="s">
        <v>373</v>
      </c>
      <c r="AX8" s="12" t="s">
        <v>415</v>
      </c>
      <c r="AY8" s="12" t="s">
        <v>552</v>
      </c>
      <c r="AZ8" s="12" t="s">
        <v>553</v>
      </c>
      <c r="BA8" s="12" t="s">
        <v>594</v>
      </c>
      <c r="BB8" s="12" t="s">
        <v>595</v>
      </c>
      <c r="BC8" s="12" t="s">
        <v>353</v>
      </c>
      <c r="BD8" s="12" t="s">
        <v>596</v>
      </c>
      <c r="BE8" s="12" t="s">
        <v>597</v>
      </c>
      <c r="BF8" s="12" t="s">
        <v>598</v>
      </c>
      <c r="BG8" s="12" t="s">
        <v>280</v>
      </c>
      <c r="BH8" s="12" t="s">
        <v>599</v>
      </c>
      <c r="BI8" s="12" t="s">
        <v>375</v>
      </c>
      <c r="BJ8" s="12" t="s">
        <v>600</v>
      </c>
      <c r="BK8" s="12" t="s">
        <v>562</v>
      </c>
      <c r="BL8" s="12" t="s">
        <v>563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605</v>
      </c>
      <c r="BR8" s="12" t="s">
        <v>569</v>
      </c>
      <c r="BS8" s="12" t="s">
        <v>606</v>
      </c>
      <c r="BT8" s="12" t="s">
        <v>607</v>
      </c>
      <c r="BU8" s="12" t="s">
        <v>473</v>
      </c>
      <c r="BV8" s="12" t="s">
        <v>472</v>
      </c>
      <c r="BW8" s="12" t="s">
        <v>608</v>
      </c>
      <c r="BX8" s="12" t="s">
        <v>352</v>
      </c>
      <c r="BY8" s="12" t="s">
        <v>609</v>
      </c>
      <c r="BZ8" s="12" t="s">
        <v>610</v>
      </c>
      <c r="CA8" s="12" t="s">
        <v>611</v>
      </c>
      <c r="CB8" s="7" t="s">
        <v>612</v>
      </c>
    </row>
    <row r="9" ht="17.25" customHeight="1">
      <c r="A9" s="8"/>
      <c r="B9" s="19" t="str">
        <f>VLOOKUP($J$9,$W$7:$CB$8,58,0)</f>
        <v>Athlete's Data</v>
      </c>
      <c r="C9" s="20"/>
      <c r="D9" s="20"/>
      <c r="E9" s="10"/>
      <c r="F9" s="21"/>
      <c r="G9" s="8"/>
      <c r="H9" s="8"/>
      <c r="I9" s="8"/>
      <c r="J9" s="22" t="s">
        <v>325</v>
      </c>
      <c r="L9" s="5"/>
      <c r="M9" s="5"/>
      <c r="N9" s="5"/>
      <c r="Q9" s="5"/>
      <c r="R9" s="5"/>
      <c r="S9" s="8"/>
      <c r="T9" s="8"/>
      <c r="U9" s="8"/>
      <c r="V9" s="8"/>
      <c r="W9" s="12"/>
      <c r="AF9" s="12"/>
    </row>
    <row r="10" ht="45.0" customHeight="1">
      <c r="A10" s="8"/>
      <c r="B10" s="23" t="s">
        <v>613</v>
      </c>
      <c r="C10" s="24" t="str">
        <f>VLOOKUP($J$9,$W$5:$AE$6,2,0)</f>
        <v>Family Name</v>
      </c>
      <c r="D10" s="24" t="str">
        <f>VLOOKUP($J$9,$W$5:$AE$6,3,0)</f>
        <v>Given Name</v>
      </c>
      <c r="E10" s="24" t="str">
        <f>VLOOKUP($J$9,$W$5:$AE$6,4,0)</f>
        <v>Gender</v>
      </c>
      <c r="F10" s="24" t="str">
        <f>VLOOKUP($J$9,$W$5:$AE$6,5,0)</f>
        <v>Sport Event</v>
      </c>
      <c r="G10" s="25" t="str">
        <f>VLOOKUP($J$9,$W$5:KX$6,6,0)</f>
        <v>Weight</v>
      </c>
      <c r="H10" s="25" t="str">
        <f>VLOOKUP($J$9,$W$5:KX$6,7,0)</f>
        <v>Height</v>
      </c>
      <c r="I10" s="26" t="s">
        <v>614</v>
      </c>
      <c r="J10" s="25" t="str">
        <f>VLOOKUP($J$9,$W$5:KX$6,9,0)</f>
        <v>World Rnk. Individual</v>
      </c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7"/>
      <c r="B11" s="28">
        <v>1.0</v>
      </c>
      <c r="C11" s="29"/>
      <c r="D11" s="29"/>
      <c r="E11" s="30"/>
      <c r="F11" s="30"/>
      <c r="G11" s="30"/>
      <c r="H11" s="30"/>
      <c r="I11" s="30"/>
      <c r="J11" s="30"/>
      <c r="K11" s="5"/>
      <c r="L11" s="5"/>
      <c r="M11" s="5"/>
      <c r="N11" s="5"/>
      <c r="O11" s="5"/>
      <c r="P11" s="5"/>
      <c r="Q11" s="5"/>
      <c r="R11" s="5"/>
      <c r="S11" s="27"/>
      <c r="T11" s="27"/>
      <c r="U11" s="27"/>
      <c r="V11" s="27"/>
      <c r="W11" s="12"/>
      <c r="X11" s="12" t="s">
        <v>615</v>
      </c>
      <c r="Y11" s="12" t="s">
        <v>616</v>
      </c>
      <c r="Z11" s="12" t="s">
        <v>617</v>
      </c>
      <c r="AA11" s="12" t="s">
        <v>618</v>
      </c>
      <c r="AB11" s="12" t="s">
        <v>619</v>
      </c>
      <c r="AC11" s="12" t="s">
        <v>620</v>
      </c>
      <c r="AD11" s="12" t="s">
        <v>621</v>
      </c>
      <c r="AE11" s="12" t="s">
        <v>622</v>
      </c>
      <c r="AF11" s="12" t="s">
        <v>623</v>
      </c>
      <c r="AG11" s="7" t="s">
        <v>624</v>
      </c>
      <c r="AH11" s="12" t="s">
        <v>625</v>
      </c>
      <c r="AI11" s="12" t="s">
        <v>626</v>
      </c>
      <c r="AJ11" s="12" t="s">
        <v>627</v>
      </c>
      <c r="AK11" s="12" t="s">
        <v>628</v>
      </c>
      <c r="AL11" s="12" t="s">
        <v>629</v>
      </c>
      <c r="AM11" s="12" t="s">
        <v>630</v>
      </c>
      <c r="AN11" s="12" t="s">
        <v>631</v>
      </c>
      <c r="AO11" s="12" t="s">
        <v>632</v>
      </c>
      <c r="AP11" s="12" t="s">
        <v>633</v>
      </c>
      <c r="AQ11" s="12" t="s">
        <v>634</v>
      </c>
      <c r="AR11" s="12" t="s">
        <v>635</v>
      </c>
      <c r="AS11" s="12" t="s">
        <v>636</v>
      </c>
      <c r="AT11" s="12" t="s">
        <v>637</v>
      </c>
      <c r="AU11" s="12" t="s">
        <v>638</v>
      </c>
      <c r="AV11" s="12" t="s">
        <v>639</v>
      </c>
      <c r="AW11" s="12" t="s">
        <v>640</v>
      </c>
      <c r="AX11" s="12" t="s">
        <v>641</v>
      </c>
      <c r="AY11" s="12" t="s">
        <v>642</v>
      </c>
      <c r="AZ11" s="12" t="s">
        <v>643</v>
      </c>
      <c r="BA11" s="12" t="s">
        <v>644</v>
      </c>
      <c r="BB11" s="12" t="s">
        <v>645</v>
      </c>
      <c r="BC11" s="12" t="s">
        <v>646</v>
      </c>
      <c r="BD11" s="12" t="s">
        <v>647</v>
      </c>
      <c r="BE11" s="12" t="s">
        <v>648</v>
      </c>
      <c r="BF11" s="12" t="s">
        <v>649</v>
      </c>
      <c r="BG11" s="12" t="s">
        <v>650</v>
      </c>
      <c r="BH11" s="12" t="s">
        <v>651</v>
      </c>
      <c r="BI11" s="12" t="s">
        <v>652</v>
      </c>
      <c r="BJ11" s="12" t="s">
        <v>653</v>
      </c>
      <c r="BK11" s="12" t="s">
        <v>654</v>
      </c>
      <c r="BL11" s="12" t="s">
        <v>655</v>
      </c>
      <c r="BM11" s="12" t="s">
        <v>656</v>
      </c>
      <c r="BN11" s="12" t="s">
        <v>657</v>
      </c>
      <c r="BO11" s="12" t="s">
        <v>658</v>
      </c>
      <c r="BP11" s="12" t="s">
        <v>659</v>
      </c>
      <c r="BQ11" s="12" t="s">
        <v>660</v>
      </c>
      <c r="BR11" s="12" t="s">
        <v>661</v>
      </c>
      <c r="BS11" s="12" t="s">
        <v>662</v>
      </c>
      <c r="BT11" s="12" t="s">
        <v>663</v>
      </c>
      <c r="BU11" s="12" t="s">
        <v>664</v>
      </c>
      <c r="BV11" s="12" t="s">
        <v>665</v>
      </c>
      <c r="BW11" s="12" t="s">
        <v>666</v>
      </c>
      <c r="BX11" s="12" t="s">
        <v>667</v>
      </c>
      <c r="BY11" s="12" t="s">
        <v>668</v>
      </c>
      <c r="BZ11" s="12" t="s">
        <v>669</v>
      </c>
      <c r="CA11" s="12" t="s">
        <v>670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VLOOKUP($J$9,$W$3:$KV$4,257,0)</f>
        <v>Recurve Individual</v>
      </c>
      <c r="Y12" s="8" t="str">
        <f>VLOOKUP($J$9,$W$3:$KV$4,200,0)</f>
        <v>Freestyle</v>
      </c>
      <c r="Z12" s="8" t="str">
        <f>VLOOKUP($J$9,$W$3:$KV$4,30,0)</f>
        <v>100m</v>
      </c>
      <c r="AA12" s="8" t="str">
        <f>VLOOKUP($J$9,$W$3:$KV$4,62,0)</f>
        <v>Baseball</v>
      </c>
      <c r="AB12" s="8" t="str">
        <f>VLOOKUP($J$9,$W$3:$KV$4,56,0)</f>
        <v>Individual</v>
      </c>
      <c r="AC12" s="8" t="str">
        <f>VLOOKUP($J$9,$W$3:$KV$4,60,0)</f>
        <v>Basketball 3x3</v>
      </c>
      <c r="AD12" s="8" t="str">
        <f>VLOOKUP($J$9,$W$3:$KV$4,59,0)</f>
        <v>Basketball</v>
      </c>
      <c r="AE12" s="8" t="str">
        <f>VLOOKUP($J$9,$W$3:$KV$4,79,0)</f>
        <v>Breaking</v>
      </c>
      <c r="AF12" s="8" t="str">
        <f>VLOOKUP($J$9,$W$3:$KV$4,93,0)</f>
        <v>BMX Freestyle</v>
      </c>
      <c r="AH12" s="8" t="str">
        <f>VLOOKUP($J$9,$W$3:$KV$4,257,0)</f>
        <v>Recurve Individual</v>
      </c>
      <c r="AI12" s="8" t="str">
        <f>VLOOKUP($J$9,$W$3:$KV$4,64,0)</f>
        <v>Individual</v>
      </c>
      <c r="AJ12" s="8" t="str">
        <f>VLOOKUP($J$9,$W$3:$KV$4,110,0)</f>
        <v>Speed</v>
      </c>
      <c r="AK12" s="8" t="str">
        <f>VLOOKUP($J$9,$W$3:$KV$4,96,0)</f>
        <v>Time Trial</v>
      </c>
      <c r="AL12" s="8" t="str">
        <f>VLOOKUP($J$9,$W$3:$KV$4,90,0)</f>
        <v>K1</v>
      </c>
      <c r="AM12" s="8" t="str">
        <f>VLOOKUP($J$9,$W$3:$KV$4,80,0)</f>
        <v>MK1 1,000m</v>
      </c>
      <c r="AN12" s="8" t="str">
        <f>VLOOKUP($J$9,$W$3:$KV$4,98,0)</f>
        <v>Racing</v>
      </c>
      <c r="AO12" s="8" t="str">
        <f>VLOOKUP($J$9,$W$3:$KV$4,2,0)</f>
        <v>1m Trampoline</v>
      </c>
      <c r="AP12" s="8" t="str">
        <f>VLOOKUP($J$9,$W$3:$KV$4,104,0)</f>
        <v>Dressing Individual</v>
      </c>
      <c r="AQ12" s="8" t="str">
        <f>VLOOKUP($J$9,$W$3:$KV$4,123,0)</f>
        <v>Football</v>
      </c>
      <c r="AR12" s="8" t="str">
        <f>VLOOKUP($J$9,$W$3:$KV$4,112,0)</f>
        <v>Épée Individual</v>
      </c>
      <c r="AS12" s="8" t="str">
        <f>VLOOKUP($J$9,$W$3:$KV$4,124,0)</f>
        <v>Team</v>
      </c>
      <c r="AT12" s="8" t="str">
        <f>VLOOKUP($J$9,$W$3:$KV$4,144,0)</f>
        <v>Golf</v>
      </c>
      <c r="AU12" s="8" t="str">
        <f>VLOOKUP($J$9,$W$3:$KV$4,134,0)</f>
        <v>All Around</v>
      </c>
      <c r="AV12" s="8" t="str">
        <f>VLOOKUP($J$9,$W$3:$KV$4,142,0)</f>
        <v>Individual</v>
      </c>
      <c r="AW12" s="8" t="str">
        <f>VLOOKUP($J$9,$W$3:$KV$4,61,0)</f>
        <v>Handball</v>
      </c>
      <c r="AX12" s="8" t="str">
        <f>VLOOKUP($J$9,$W$3:$KV$4,145,0)</f>
        <v>Field Hockey</v>
      </c>
      <c r="AY12" s="8" t="str">
        <f>VLOOKUP($J$9,$W$3:$KV$4,146,0)</f>
        <v>-60 Kg</v>
      </c>
      <c r="AZ12" s="8" t="str">
        <f>VLOOKUP($J$9,$W$3:$KV$4,161,0)</f>
        <v>Kumite M -60 Kg</v>
      </c>
      <c r="BA12" s="8" t="str">
        <f>VLOOKUP($J$9,$W$3:$KV$4,211,0)</f>
        <v>Individual</v>
      </c>
      <c r="BB12" s="8" t="str">
        <f>VLOOKUP($J$9,$W$3:$KV$4,95,0)</f>
        <v>Cross-Country</v>
      </c>
      <c r="BC12" s="8" t="str">
        <f>VLOOKUP($J$9,$W$3:$KV$4,29,0)</f>
        <v>Open Water Swimming</v>
      </c>
      <c r="BD12" s="8" t="str">
        <f>VLOOKUP($J$9,$W$3:$KV$4,207,0)</f>
        <v>Trinquet Doubles</v>
      </c>
      <c r="BE12" s="8" t="str">
        <f>VLOOKUP($J$9,$W$3:$KV$4,218,0)</f>
        <v>M1x</v>
      </c>
      <c r="BF12" s="8" t="str">
        <f>VLOOKUP($J$9,$W$3:$KV$4,214,0)</f>
        <v>Individual</v>
      </c>
      <c r="BG12" s="8" t="str">
        <f>VLOOKUP($J$9,$W$3:$KV$4,231,0)</f>
        <v>Rugby 7</v>
      </c>
      <c r="BH12" s="8" t="str">
        <f>VLOOKUP($J$9,$W$3:$KV$4,275,0)</f>
        <v>Windsurfing (IQFOIL)</v>
      </c>
      <c r="BI12" s="8" t="str">
        <f>VLOOKUP($J$9,$W$3:$KV$4,63,0)</f>
        <v>Softball</v>
      </c>
      <c r="BJ12" s="8" t="str">
        <f>VLOOKUP($J$9,$W$3:$KV$4,263,0)</f>
        <v>50m rifle 3 positions </v>
      </c>
      <c r="BK12" s="8" t="str">
        <f>VLOOKUP($J$9,$W$3:$KV$4,205,0)</f>
        <v>Street</v>
      </c>
      <c r="BL12" s="8" t="str">
        <f>VLOOKUP($J$9,$W$3:$KV$4,232,0)</f>
        <v>Individual</v>
      </c>
      <c r="BM12" s="8" t="str">
        <f>VLOOKUP($J$9,$W$3:$KV$4,236,0)</f>
        <v>Shortboard</v>
      </c>
      <c r="BN12" s="8" t="str">
        <f>VLOOKUP($J$9,$W$3:$KV$4,201,0)</f>
        <v>200m time trial</v>
      </c>
      <c r="BO12" s="8" t="str">
        <f>VLOOKUP($J$9,$W$3:$KV$4,27,0)</f>
        <v>Doubles</v>
      </c>
      <c r="BP12" s="8" t="str">
        <f>VLOOKUP($J$9,$W$3:$KV$4,7,0)</f>
        <v>50 m freestyle</v>
      </c>
      <c r="BQ12" s="8" t="str">
        <f>VLOOKUP($J$9,$W$3:$KV$4,250,0)</f>
        <v>Individual</v>
      </c>
      <c r="BR12" s="8" t="str">
        <f>VLOOKUP($J$9,$W$3:$KV$4,240,0)</f>
        <v>M Kyorugi -58 Kg</v>
      </c>
      <c r="BS12" s="8" t="str">
        <f>VLOOKUP($J$9,$W$3:$KV$4,273,0)</f>
        <v>Individual</v>
      </c>
      <c r="BT12" s="8" t="str">
        <f>VLOOKUP($J$9,$W$3:$KV$4,253,0)</f>
        <v>Individual</v>
      </c>
      <c r="BU12" s="8" t="str">
        <f>VLOOKUP($J$9,$W$3:$KV$4,286,0)</f>
        <v>Beach Volleyball</v>
      </c>
      <c r="BV12" s="8" t="str">
        <f>VLOOKUP($J$9,$W$3:$KV$4,285,0)</f>
        <v>Volleyball</v>
      </c>
      <c r="BW12" s="8" t="str">
        <f>VLOOKUP($J$9,$W$3:$KV$4,172,0)</f>
        <v>M 61 Kg</v>
      </c>
      <c r="BX12" s="8" t="str">
        <f>VLOOKUP($J$9,$W$3:$KV$4,28,0)</f>
        <v>Waterpolo</v>
      </c>
      <c r="BY12" s="8" t="str">
        <f>VLOOKUP($J$9,$W$3:$KV$4,182,0)</f>
        <v>Grecoroman 60 Kg</v>
      </c>
      <c r="BZ12" s="8" t="str">
        <f>VLOOKUP($J$9,$W$3:$KV$4,118,0)</f>
        <v>Figures</v>
      </c>
      <c r="CA12" s="8" t="str">
        <f>VLOOKUP($J$9,$W$3:$KX$4,287,0)</f>
        <v>Male</v>
      </c>
    </row>
    <row r="13" ht="13.5" customHeight="1">
      <c r="A13" s="8"/>
      <c r="B13" s="28">
        <v>3.0</v>
      </c>
      <c r="C13" s="34"/>
      <c r="D13" s="34"/>
      <c r="E13" s="35"/>
      <c r="F13" s="35"/>
      <c r="G13" s="35"/>
      <c r="H13" s="35"/>
      <c r="I13" s="35"/>
      <c r="J13" s="3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VLOOKUP($J$9,$W$3:$KV$4,258,0)</f>
        <v>Compound Individual</v>
      </c>
      <c r="Z13" s="8" t="str">
        <f>VLOOKUP($J$9,$W$3:$KV$4,31,0)</f>
        <v>200m</v>
      </c>
      <c r="AB13" s="8" t="str">
        <f>VLOOKUP($J$9,$W$3:$KV$4,57,0)</f>
        <v>Doubles</v>
      </c>
      <c r="AI13" s="8" t="str">
        <f>VLOOKUP($J$9,$W$3:$KV$4,65,0)</f>
        <v>Double</v>
      </c>
      <c r="AJ13" s="8" t="str">
        <f>VLOOKUP($J$9,$W$3:$KV$4,111,0)</f>
        <v>Boulder &amp; Lead</v>
      </c>
      <c r="AK13" s="8" t="str">
        <f>VLOOKUP($J$9,$W$3:$KV$4,97,0)</f>
        <v>Road</v>
      </c>
      <c r="AL13" s="8" t="str">
        <f>VLOOKUP($J$9,$W$3:$KV$4,91,0)</f>
        <v>C1</v>
      </c>
      <c r="AM13" s="8" t="str">
        <f>VLOOKUP($J$9,$W$3:$KV$4,81,0)</f>
        <v>MK2 500m</v>
      </c>
      <c r="AN13" s="8" t="str">
        <f>VLOOKUP($J$9,$W$3:$KV$4,99,0)</f>
        <v>Keirin</v>
      </c>
      <c r="AO13" s="8" t="str">
        <f>VLOOKUP($J$9,$W$3:$KV$4,3,0)</f>
        <v>3m Trampoline</v>
      </c>
      <c r="AP13" s="8" t="str">
        <f>VLOOKUP($J$9,$W$3:$KV$4,105,0)</f>
        <v>Dressing Team</v>
      </c>
      <c r="AR13" s="8" t="str">
        <f>VLOOKUP($J$9,$W$3:$KV$4,113,0)</f>
        <v>Foil Individual</v>
      </c>
      <c r="AS13" s="8" t="str">
        <f>VLOOKUP($J$9,$W$3:$KV$4,125,0)</f>
        <v>All Around</v>
      </c>
      <c r="AU13" s="8" t="str">
        <f>VLOOKUP($J$9,$W$3:$KV$4,135,0)</f>
        <v>Hoop</v>
      </c>
      <c r="AV13" s="8" t="str">
        <f>VLOOKUP($J$9,$W$3:$KV$4,143,0)</f>
        <v>Synchronized</v>
      </c>
      <c r="AY13" s="8" t="str">
        <f>VLOOKUP($J$9,$W$3:$KV$4,147,0)</f>
        <v>M -66 Kg</v>
      </c>
      <c r="AZ13" s="8" t="str">
        <f>VLOOKUP($J$9,$W$3:$KV$4,162,0)</f>
        <v>Kumite M -67 Kg</v>
      </c>
      <c r="BA13" s="8" t="str">
        <f>VLOOKUP($J$9,$W$3:$KV$4,212,0)</f>
        <v>Relay</v>
      </c>
      <c r="BD13" s="8" t="str">
        <f>VLOOKUP($J$9,$W$3:$KV$4,208,0)</f>
        <v>Paleta Gomme</v>
      </c>
      <c r="BE13" s="8" t="str">
        <f>VLOOKUP($J$9,$W$3:$KV$4,219,0)</f>
        <v>M2x</v>
      </c>
      <c r="BF13" s="8" t="str">
        <f>VLOOKUP($J$9,$W$3:$KV$4,215,0)</f>
        <v>Double</v>
      </c>
      <c r="BH13" s="8" t="str">
        <f>VLOOKUP($J$9,$W$3:$KV$4,276,0)</f>
        <v>Dinghy (Ilca 7)</v>
      </c>
      <c r="BJ13" s="8" t="str">
        <f>VLOOKUP($J$9,$W$3:$KV$4,264,0)</f>
        <v>10m air rifle</v>
      </c>
      <c r="BK13" s="8" t="str">
        <f>VLOOKUP($J$9,$W$3:$KV$4,206,0)</f>
        <v>Park</v>
      </c>
      <c r="BL13" s="8" t="str">
        <f>VLOOKUP($J$9,$W$3:$KV$4,233,0)</f>
        <v>Double</v>
      </c>
      <c r="BM13" s="8" t="str">
        <f>VLOOKUP($J$9,$W$3:$KV$4,237,0)</f>
        <v>Sup Surf</v>
      </c>
      <c r="BN13" s="8" t="str">
        <f>VLOOKUP($J$9,$W$3:$KV$4,202,0)</f>
        <v>500m + distance</v>
      </c>
      <c r="BO13" s="8" t="str">
        <f>VLOOKUP($J$9,$W$3:$KV$4,26,0)</f>
        <v>Team</v>
      </c>
      <c r="BP13" s="8" t="str">
        <f>VLOOKUP($J$9,$W$3:$KV$4,8,0)</f>
        <v>100 m freestyle</v>
      </c>
      <c r="BQ13" s="8" t="str">
        <f>VLOOKUP($J$9,$W$3:$KV$4,251,0)</f>
        <v>Double</v>
      </c>
      <c r="BR13" s="8" t="str">
        <f>VLOOKUP($J$9,$W$3:$KV$4,241,0)</f>
        <v>M Kyorugi -68 Kg</v>
      </c>
      <c r="BS13" s="8" t="str">
        <f>VLOOKUP($J$9,$W$3:$KV$4,274,0)</f>
        <v>Mixed relay</v>
      </c>
      <c r="BT13" s="8" t="str">
        <f>VLOOKUP($J$9,$W$3:$KV$4,254,0)</f>
        <v>Team</v>
      </c>
      <c r="BW13" s="8" t="str">
        <f>VLOOKUP($J$9,$W$3:$KV$4,173,0)</f>
        <v>M 73 Kg</v>
      </c>
      <c r="BY13" s="8" t="str">
        <f>VLOOKUP($J$9,$W$3:$KV$4,183,0)</f>
        <v>Grecoroman 67 Kg</v>
      </c>
      <c r="BZ13" s="8" t="str">
        <f>VLOOKUP($J$9,$W$3:$KV$4,119,0)</f>
        <v>Slalom</v>
      </c>
      <c r="CA13" s="8" t="str">
        <f>VLOOKUP($J$9,$W$3:$KX$4,288,0)</f>
        <v>Female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VLOOKUP($J$9,$W$3:$KV$4,259,0)</f>
        <v>Recurve Team</v>
      </c>
      <c r="Z14" s="8" t="str">
        <f>VLOOKUP($J$9,$W$3:$KV$4,32,0)</f>
        <v>400m</v>
      </c>
      <c r="AB14" s="8" t="str">
        <f>VLOOKUP($J$9,$W$3:$KV$4,58,0)</f>
        <v>Mixed doubles</v>
      </c>
      <c r="AI14" s="8"/>
      <c r="AL14" s="8" t="str">
        <f>VLOOKUP($J$9,$W$3:$KV$4,92,0)</f>
        <v>K1 Extreme</v>
      </c>
      <c r="AM14" s="8" t="str">
        <f>VLOOKUP($J$9,$W$3:$KV$4,82,0)</f>
        <v>MK4 500m</v>
      </c>
      <c r="AN14" s="8" t="str">
        <f>VLOOKUP($J$9,$W$3:$KV$4,100,0)</f>
        <v>Omnium</v>
      </c>
      <c r="AO14" s="8" t="str">
        <f>VLOOKUP($J$9,$W$3:$KV$4,4,0)</f>
        <v>10m Platform</v>
      </c>
      <c r="AP14" s="8" t="str">
        <f>VLOOKUP($J$9,$W$3:$KV$4,106,0)</f>
        <v>Eventing Individual</v>
      </c>
      <c r="AR14" s="8" t="str">
        <f>VLOOKUP($J$9,$W$3:$KV$4,114,0)</f>
        <v>Sabre Individual</v>
      </c>
      <c r="AS14" s="8" t="str">
        <f>VLOOKUP($J$9,$W$3:$KV$4,126,0)</f>
        <v>Floor Excercise</v>
      </c>
      <c r="AU14" s="8" t="str">
        <f>VLOOKUP($J$9,$W$3:$KV$4,136,0)</f>
        <v>Ball</v>
      </c>
      <c r="AY14" s="8" t="str">
        <f>VLOOKUP($J$9,$W$3:$KV$4,148,0)</f>
        <v>M -73 Kg</v>
      </c>
      <c r="AZ14" s="8" t="str">
        <f>VLOOKUP($J$9,$W$3:$KV$4,163,0)</f>
        <v>Kumite M -75 Kg</v>
      </c>
      <c r="BA14" s="8" t="str">
        <f>VLOOKUP($J$9,$W$3:$KV$4,213,0)</f>
        <v>Mixed relay</v>
      </c>
      <c r="BD14" s="8" t="str">
        <f>VLOOKUP($J$9,$W$3:$KV$4,209,0)</f>
        <v>Frontenis -Dobles (Fronton)</v>
      </c>
      <c r="BE14" s="8" t="str">
        <f>VLOOKUP($J$9,$W$3:$KV$4,220,0)</f>
        <v>M4x</v>
      </c>
      <c r="BF14" s="8" t="str">
        <f>VLOOKUP($J$9,$W$3:$KV$4,216,0)</f>
        <v>Team</v>
      </c>
      <c r="BH14" s="8" t="str">
        <f>VLOOKUP($J$9,$W$3:$KV$4,277,0)</f>
        <v>Dinghy (Ilca 6)</v>
      </c>
      <c r="BJ14" s="8" t="str">
        <f>VLOOKUP($J$9,$W$3:$KV$4,265,0)</f>
        <v>10m air pistol</v>
      </c>
      <c r="BL14" s="8" t="str">
        <f>VLOOKUP($J$9,$W$3:$KV$4,234,0)</f>
        <v>Team</v>
      </c>
      <c r="BM14" s="8" t="str">
        <f>VLOOKUP($J$9,$W$3:$KV$4,238,0)</f>
        <v>Sup Race</v>
      </c>
      <c r="BN14" s="8" t="str">
        <f>VLOOKUP($J$9,$W$3:$KV$4,203,0)</f>
        <v>10000m Elimination</v>
      </c>
      <c r="BP14" s="8" t="str">
        <f>VLOOKUP($J$9,$W$3:$KV$4,9,0)</f>
        <v>200 m freestyle</v>
      </c>
      <c r="BQ14" s="8" t="str">
        <f>VLOOKUP($J$9,$W$3:$KV$4,252,0)</f>
        <v>Mixed doubles</v>
      </c>
      <c r="BR14" s="8" t="str">
        <f>VLOOKUP($J$9,$W$3:$KV$4,242,0)</f>
        <v>M Kyorugi -80 Kg</v>
      </c>
      <c r="BT14" s="8" t="str">
        <f>VLOOKUP($J$9,$W$3:$KV$4,255,0)</f>
        <v>Double</v>
      </c>
      <c r="BW14" s="8" t="str">
        <f>VLOOKUP($J$9,$W$3:$KV$4,174,0)</f>
        <v>M 89 Kg</v>
      </c>
      <c r="BY14" s="8" t="str">
        <f>VLOOKUP($J$9,$W$3:$KV$4,184,0)</f>
        <v>Grecoroman 77 Kg</v>
      </c>
      <c r="BZ14" s="8" t="str">
        <f>VLOOKUP($J$9,$W$3:$KV$4,120,0)</f>
        <v>Leap</v>
      </c>
    </row>
    <row r="15" ht="13.5" customHeight="1">
      <c r="A15" s="8"/>
      <c r="B15" s="28">
        <v>5.0</v>
      </c>
      <c r="C15" s="34"/>
      <c r="D15" s="34"/>
      <c r="E15" s="35"/>
      <c r="F15" s="35"/>
      <c r="G15" s="35"/>
      <c r="H15" s="35"/>
      <c r="I15" s="35"/>
      <c r="J15" s="3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VLOOKUP($J$9,$W$3:$KV$4,260,0)</f>
        <v>Compound Team</v>
      </c>
      <c r="Z15" s="8" t="str">
        <f>VLOOKUP($J$9,$W$3:$KV$4,33,0)</f>
        <v>800m</v>
      </c>
      <c r="AB15" s="8"/>
      <c r="AL15" s="8"/>
      <c r="AM15" s="8" t="str">
        <f>VLOOKUP($J$9,$W$3:$KV$4,83,0)</f>
        <v>MC1 1,000m</v>
      </c>
      <c r="AN15" s="8" t="str">
        <f>VLOOKUP($J$9,$W$3:$KV$4,101,0)</f>
        <v>Team Racing</v>
      </c>
      <c r="AO15" s="8" t="str">
        <f>VLOOKUP($J$9,$W$3:$KV$4,5,0)</f>
        <v>Synchronized 3m Trampoline</v>
      </c>
      <c r="AP15" s="8" t="str">
        <f>VLOOKUP($J$9,$W$3:$KV$4,107,0)</f>
        <v>Eventing Team</v>
      </c>
      <c r="AR15" s="8" t="str">
        <f>VLOOKUP($J$9,$W$3:$KV$4,115,0)</f>
        <v>Épée Team</v>
      </c>
      <c r="AS15" s="8" t="str">
        <f>VLOOKUP($J$9,$W$3:$KV$4,127,0)</f>
        <v>Pommel Horse</v>
      </c>
      <c r="AU15" s="8" t="str">
        <f>VLOOKUP($J$9,$W$3:$KV$4,137,0)</f>
        <v>Clubs</v>
      </c>
      <c r="AY15" s="8" t="str">
        <f>VLOOKUP($J$9,$W$3:$KV$4,149,0)</f>
        <v>M -81 Kg</v>
      </c>
      <c r="AZ15" s="8" t="str">
        <f>VLOOKUP($J$9,$W$3:$KV$4,164,0)</f>
        <v>Kumite M -84 Kg</v>
      </c>
      <c r="BD15" s="8" t="str">
        <f>VLOOKUP($J$9,$W$3:$KV$4,210,0)</f>
        <v>Frontball</v>
      </c>
      <c r="BE15" s="8" t="str">
        <f>VLOOKUP($J$9,$W$3:$KV$4,221,0)</f>
        <v>M2-</v>
      </c>
      <c r="BF15" s="8" t="str">
        <f>VLOOKUP($J$9,$W$3:$KV$4,217,0)</f>
        <v>Mixed doubles</v>
      </c>
      <c r="BH15" s="8" t="str">
        <f>VLOOKUP($J$9,$W$3:$KV$4,278,0)</f>
        <v>Sunfish</v>
      </c>
      <c r="BJ15" s="8" t="str">
        <f>VLOOKUP($J$9,$W$3:$KV$4,266,0)</f>
        <v>25m rapid fire pístol</v>
      </c>
      <c r="BL15" s="8" t="str">
        <f>VLOOKUP($J$9,$W$3:$KV$4,235,0)</f>
        <v>Mixed doubles</v>
      </c>
      <c r="BM15" s="8" t="str">
        <f>VLOOKUP($J$9,$W$3:$KV$4,239,0)</f>
        <v>Longboard</v>
      </c>
      <c r="BN15" s="8" t="str">
        <f>VLOOKUP($J$9,$W$3:$KV$4,204,0)</f>
        <v>1000M sprint</v>
      </c>
      <c r="BP15" s="8" t="str">
        <f>VLOOKUP($J$9,$W$3:$KV$4,10,0)</f>
        <v>400 m freestyle</v>
      </c>
      <c r="BR15" s="8" t="str">
        <f>VLOOKUP($J$9,$W$3:$KV$4,243,0)</f>
        <v>M Kyorugi +80 Kg</v>
      </c>
      <c r="BT15" s="8" t="str">
        <f>VLOOKUP($J$9,$W$3:$KV$4,256,0)</f>
        <v>Mixed doubles</v>
      </c>
      <c r="BW15" s="8" t="str">
        <f>VLOOKUP($J$9,$W$3:$KV$4,175,0)</f>
        <v>M 102 Kg</v>
      </c>
      <c r="BY15" s="8" t="str">
        <f>VLOOKUP($J$9,$W$3:$KV$4,185,0)</f>
        <v>Grecoroman 87 Kg</v>
      </c>
      <c r="BZ15" s="8" t="str">
        <f>VLOOKUP($J$9,$W$3:$KV$4,121,0)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VLOOKUP($J$9,$W$3:$KV$4,261,0)</f>
        <v>Recurve Mixed</v>
      </c>
      <c r="Z16" s="8" t="str">
        <f>VLOOKUP($J$9,$W$3:$KV$4,34,0)</f>
        <v>1500m</v>
      </c>
      <c r="AL16" s="8"/>
      <c r="AM16" s="8" t="str">
        <f>VLOOKUP($J$9,$W$3:$KV$4,84,0)</f>
        <v>MC2 500m</v>
      </c>
      <c r="AN16" s="8" t="str">
        <f>VLOOKUP($J$9,$W$3:$KV$4,102,0)</f>
        <v>Team Pursuit</v>
      </c>
      <c r="AO16" s="8" t="str">
        <f>VLOOKUP($J$9,$W$3:$KV$4,6,0)</f>
        <v>Synchronized 10m Platform</v>
      </c>
      <c r="AP16" s="8" t="str">
        <f>VLOOKUP($J$9,$W$3:$KV$4,108,0)</f>
        <v>Jumping Individual</v>
      </c>
      <c r="AR16" s="8" t="str">
        <f>VLOOKUP($J$9,$W$3:$KV$4,116,0)</f>
        <v>Foil Team</v>
      </c>
      <c r="AS16" s="8" t="str">
        <f>VLOOKUP($J$9,$W$3:$KV$4,128,0)</f>
        <v>Rings</v>
      </c>
      <c r="AU16" s="8" t="str">
        <f>VLOOKUP($J$9,$W$3:$KV$4,138,0)</f>
        <v>Ribbon</v>
      </c>
      <c r="AY16" s="8" t="str">
        <f>VLOOKUP($J$9,$W$3:$KV$4,150,0)</f>
        <v>M -90 Kg</v>
      </c>
      <c r="AZ16" s="8" t="str">
        <f>VLOOKUP($J$9,$W$3:$KV$4,165,0)</f>
        <v>Kumite M +84 Kg</v>
      </c>
      <c r="BE16" s="8" t="str">
        <f>VLOOKUP($J$9,$W$3:$KV$4,222,0)</f>
        <v>M4-</v>
      </c>
      <c r="BF16" s="8"/>
      <c r="BH16" s="8" t="str">
        <f>VLOOKUP($J$9,$W$3:$KV$4,279,0)</f>
        <v>Skiff (49er)</v>
      </c>
      <c r="BJ16" s="8" t="str">
        <f>VLOOKUP($J$9,$W$3:$KV$4,267,0)</f>
        <v>25m pistol</v>
      </c>
      <c r="BM16" s="8"/>
      <c r="BP16" s="8" t="str">
        <f>VLOOKUP($J$9,$W$3:$KV$4,11,0)</f>
        <v>800 m freestyle</v>
      </c>
      <c r="BR16" s="8" t="str">
        <f>VLOOKUP($J$9,$W$3:$KV$4,244,0)</f>
        <v>F Kyorugi -49 Kg</v>
      </c>
      <c r="BW16" s="8" t="str">
        <f>VLOOKUP($J$9,$W$3:$KV$4,176,0)</f>
        <v>M +102 Kg</v>
      </c>
      <c r="BY16" s="8" t="str">
        <f>VLOOKUP($J$9,$W$3:$KV$4,186,0)</f>
        <v>Grecoroman 97 Kg</v>
      </c>
      <c r="BZ16" s="8" t="str">
        <f>VLOOKUP($J$9,$W$3:$KV$4,122,0)</f>
        <v>Wakeboard</v>
      </c>
    </row>
    <row r="17" ht="13.5" customHeight="1">
      <c r="A17" s="8"/>
      <c r="B17" s="28">
        <v>7.0</v>
      </c>
      <c r="C17" s="34"/>
      <c r="D17" s="34"/>
      <c r="E17" s="35"/>
      <c r="F17" s="35"/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VLOOKUP($J$9,$W$3:$KV$4,262,0)</f>
        <v>Compund Mixed</v>
      </c>
      <c r="Z17" s="8" t="str">
        <f>VLOOKUP($J$9,$W$3:$KV$4,3,0)</f>
        <v>3m Trampoline</v>
      </c>
      <c r="AM17" s="8" t="str">
        <f>VLOOKUP($J$9,$W$3:$KV$4,85,0)</f>
        <v>WK1 500m</v>
      </c>
      <c r="AN17" s="8" t="str">
        <f>VLOOKUP($J$9,$W$3:$KV$4,103,0)</f>
        <v>Madison</v>
      </c>
      <c r="AP17" s="8" t="str">
        <f>VLOOKUP($J$9,$W$3:$KV$4,109,0)</f>
        <v>Jumping Team</v>
      </c>
      <c r="AR17" s="8" t="str">
        <f>VLOOKUP($J$9,$W$3:$KV$4,117,0)</f>
        <v>Sabre Team</v>
      </c>
      <c r="AS17" s="8" t="str">
        <f>VLOOKUP($J$9,$W$3:$KV$4,129,0)</f>
        <v>Vault</v>
      </c>
      <c r="AU17" s="8" t="str">
        <f>VLOOKUP($J$9,$W$3:$KV$4,139,0)</f>
        <v>Groups All Round</v>
      </c>
      <c r="AY17" s="8" t="str">
        <f>VLOOKUP($J$9,$W$3:$KV$4,151,0)</f>
        <v>M -100 Kg</v>
      </c>
      <c r="AZ17" s="8" t="str">
        <f>VLOOKUP($J$9,$W$3:$KV$4,166,0)</f>
        <v>Kumite F -50 Kg</v>
      </c>
      <c r="BE17" s="8" t="str">
        <f>VLOOKUP($J$9,$W$3:$KV$4,223,0)</f>
        <v>LM2x</v>
      </c>
      <c r="BH17" s="8" t="str">
        <f>VLOOKUP($J$9,$W$3:$KV$4,280,0)</f>
        <v>Skiff (49er Fx)</v>
      </c>
      <c r="BJ17" s="8" t="str">
        <f>VLOOKUP($J$9,$W$3:$KV$4,268,0)</f>
        <v>Skeet</v>
      </c>
      <c r="BP17" s="8" t="str">
        <f>VLOOKUP($J$9,$W$3:$KV$4,12,0)</f>
        <v>1,500 m freestyle</v>
      </c>
      <c r="BR17" s="8" t="str">
        <f>VLOOKUP($J$9,$W$3:$KV$4,245,0)</f>
        <v>F Kyorugi -57 Kg</v>
      </c>
      <c r="BW17" s="8" t="str">
        <f>VLOOKUP($J$9,$W$3:$KV$4,177,0)</f>
        <v>F 49 Kg</v>
      </c>
      <c r="BY17" s="8" t="str">
        <f>VLOOKUP($J$9,$W$3:$KV$4,187,0)</f>
        <v>Grecoroman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VLOOKUP($J$9,$W$3:$KV$4,35,0)</f>
        <v>5000m</v>
      </c>
      <c r="AM18" s="8" t="str">
        <f>VLOOKUP($J$9,$W$3:$KV$4,86,0)</f>
        <v>WK2 500m</v>
      </c>
      <c r="AS18" s="8" t="str">
        <f>VLOOKUP($J$9,$W$3:$KV$4,130,0)</f>
        <v>Parallel bars</v>
      </c>
      <c r="AU18" s="8" t="str">
        <f>VLOOKUP($J$9,$W$3:$KV$4,140,0)</f>
        <v>5 hoops</v>
      </c>
      <c r="AY18" s="8" t="str">
        <f>VLOOKUP($J$9,$W$3:$KV$4,152,0)</f>
        <v>M +100 Kg</v>
      </c>
      <c r="AZ18" s="8" t="str">
        <f>VLOOKUP($J$9,$W$3:$KV$4,167,0)</f>
        <v>Kumite F -55 Kg</v>
      </c>
      <c r="BE18" s="8" t="str">
        <f>VLOOKUP($J$9,$W$3:$KV$4,224,0)</f>
        <v>W1x</v>
      </c>
      <c r="BH18" s="8" t="str">
        <f>VLOOKUP($J$9,$W$3:$KV$4,281,0)</f>
        <v>Kite (Fomula Kite)</v>
      </c>
      <c r="BJ18" s="8" t="str">
        <f>VLOOKUP($J$9,$W$3:$KV$4,269,0)</f>
        <v>Trap</v>
      </c>
      <c r="BP18" s="8" t="str">
        <f>VLOOKUP($J$9,$W$3:$KV$4,13,0)</f>
        <v>100 m back</v>
      </c>
      <c r="BR18" s="8" t="str">
        <f>VLOOKUP($J$9,$W$3:$KV$4,246,0)</f>
        <v>F Kyorugi -67 Kg</v>
      </c>
      <c r="BW18" s="8" t="str">
        <f>VLOOKUP($J$9,$W$3:$KV$4,178,0)</f>
        <v>F 59 Kg</v>
      </c>
      <c r="BY18" s="8" t="str">
        <f>VLOOKUP($J$9,$W$3:$KV$4,188,0)</f>
        <v>Freestyle M 57 Kg</v>
      </c>
    </row>
    <row r="19" ht="13.5" customHeight="1">
      <c r="A19" s="8"/>
      <c r="B19" s="28">
        <v>9.0</v>
      </c>
      <c r="C19" s="34"/>
      <c r="D19" s="34"/>
      <c r="E19" s="35"/>
      <c r="F19" s="35"/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VLOOKUP($J$9,$W$3:$KV$4,36,0)</f>
        <v>10000m</v>
      </c>
      <c r="AM19" s="8" t="str">
        <f>VLOOKUP($J$9,$W$3:$KV$4,87,0)</f>
        <v>WK4 500M</v>
      </c>
      <c r="AS19" s="8" t="str">
        <f>VLOOKUP($J$9,$W$3:$KV$4,131,0)</f>
        <v>Horizontal Bar</v>
      </c>
      <c r="AU19" s="8" t="str">
        <f>VLOOKUP($J$9,$W$3:$KV$4,141,0)</f>
        <v>3 ribbons / 2 balls</v>
      </c>
      <c r="AY19" s="8" t="str">
        <f>VLOOKUP($J$9,$W$3:$KV$4,153,0)</f>
        <v>F -48 Kg</v>
      </c>
      <c r="AZ19" s="8" t="str">
        <f>VLOOKUP($J$9,$W$3:$KV$4,168,0)</f>
        <v>Kumite F -61 Kg</v>
      </c>
      <c r="BE19" s="8" t="str">
        <f>VLOOKUP($J$9,$W$3:$KV$4,225,0)</f>
        <v>W2x</v>
      </c>
      <c r="BH19" s="8" t="str">
        <f>VLOOKUP($J$9,$W$3:$KV$4,282,0)</f>
        <v>Mixed Multihull (Nacra 17)</v>
      </c>
      <c r="BJ19" s="8" t="str">
        <f>VLOOKUP($J$9,$W$3:$KV$4,270,0)</f>
        <v>Mixed 10m air rifle</v>
      </c>
      <c r="BP19" s="8" t="str">
        <f>VLOOKUP($J$9,$W$3:$KV$4,14,0)</f>
        <v>200 m back</v>
      </c>
      <c r="BR19" s="8" t="str">
        <f>VLOOKUP($J$9,$W$3:$KV$4,247,0)</f>
        <v>F Kyorugi +67 Kg</v>
      </c>
      <c r="BW19" s="8" t="str">
        <f>VLOOKUP($J$9,$W$3:$KV$4,179,0)</f>
        <v>F 71 Kg</v>
      </c>
      <c r="BY19" s="8" t="str">
        <f>VLOOKUP($J$9,$W$3:$KV$4,189,0)</f>
        <v>Freestyle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VLOOKUP($J$9,$W$3:$KV$4,37,0)</f>
        <v>110 / 100 Hurdles</v>
      </c>
      <c r="AM20" s="8" t="str">
        <f>VLOOKUP($J$9,$W$3:$KV$4,88,0)</f>
        <v>WC1 200m</v>
      </c>
      <c r="AS20" s="8" t="str">
        <f>VLOOKUP($J$9,$W$3:$KV$4,132,0)</f>
        <v>Uneven bars</v>
      </c>
      <c r="AY20" s="8" t="str">
        <f>VLOOKUP($J$9,$W$3:$KV$4,154,0)</f>
        <v>F -52 Kg</v>
      </c>
      <c r="AZ20" s="8" t="str">
        <f>VLOOKUP($J$9,$W$3:$KV$4,169,0)</f>
        <v>Kumite F -68 Kg </v>
      </c>
      <c r="BE20" s="8" t="str">
        <f>VLOOKUP($J$9,$W$3:$KV$4,226,0)</f>
        <v>W4x</v>
      </c>
      <c r="BH20" s="8" t="str">
        <f>VLOOKUP($J$9,$W$3:$KV$4,283,0)</f>
        <v>Mixed Dinghy (snipe)</v>
      </c>
      <c r="BJ20" s="8" t="str">
        <f>VLOOKUP($J$9,$W$3:$KV$4,271,0)</f>
        <v>Mixed 10m air pistol</v>
      </c>
      <c r="BP20" s="8" t="str">
        <f>VLOOKUP($J$9,$W$3:$KV$4,15,0)</f>
        <v>100 m chest</v>
      </c>
      <c r="BR20" s="8" t="str">
        <f>VLOOKUP($J$9,$W$3:$KV$4,248,0)</f>
        <v>Poomsae Traditional Individual</v>
      </c>
      <c r="BW20" s="8" t="str">
        <f>VLOOKUP($J$9,$W$3:$KV$4,180,0)</f>
        <v>F 81 Kg</v>
      </c>
      <c r="BY20" s="8" t="str">
        <f>VLOOKUP($J$9,$W$3:$KV$4,190,0)</f>
        <v>Freestyle M 74 Kg</v>
      </c>
    </row>
    <row r="21" ht="17.25" customHeight="1">
      <c r="A21" s="21"/>
      <c r="B21" s="28">
        <v>11.0</v>
      </c>
      <c r="C21" s="29"/>
      <c r="D21" s="29"/>
      <c r="E21" s="30"/>
      <c r="F21" s="30"/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VLOOKUP($J$9,$W$3:$KV$4,38,0)</f>
        <v>400 hurdles</v>
      </c>
      <c r="AM21" s="8" t="str">
        <f>VLOOKUP($J$9,$W$3:$KV$4,89,0)</f>
        <v>WC2 500m</v>
      </c>
      <c r="AS21" s="8" t="str">
        <f>VLOOKUP($J$9,$W$3:$KV$4,133,0)</f>
        <v>Balance beam</v>
      </c>
      <c r="AY21" s="8" t="str">
        <f>VLOOKUP($J$9,$W$3:$KV$4,155,0)</f>
        <v>F -57 Kg</v>
      </c>
      <c r="AZ21" s="8" t="str">
        <f>VLOOKUP($J$9,$W$3:$KV$4,170,0)</f>
        <v>Kumite F +68 Kg</v>
      </c>
      <c r="BE21" s="8" t="str">
        <f>VLOOKUP($J$9,$W$3:$KV$4,227,0)</f>
        <v>W2-</v>
      </c>
      <c r="BH21" s="8" t="str">
        <f>VLOOKUP($J$9,$W$3:$KV$4,284,0)</f>
        <v>Mixed Dinghy (lightning)</v>
      </c>
      <c r="BJ21" s="8" t="str">
        <f>VLOOKUP($J$9,$W$3:$KV$4,272,0)</f>
        <v>Mixed Skeet</v>
      </c>
      <c r="BP21" s="8" t="str">
        <f>VLOOKUP($J$9,$W$3:$KV$4,16,0)</f>
        <v>200 m chest</v>
      </c>
      <c r="BR21" s="8" t="str">
        <f>VLOOKUP($J$9,$W$3:$KV$4,249,0)</f>
        <v>Poomsae Freestyle Pairs</v>
      </c>
      <c r="BW21" s="8" t="str">
        <f>VLOOKUP($J$9,$W$3:$KV$4,181,0)</f>
        <v>F +81 Kg</v>
      </c>
      <c r="BY21" s="8" t="str">
        <f>VLOOKUP($J$9,$W$3:$KV$4,191,0)</f>
        <v>Freestyle M 86 Kg</v>
      </c>
    </row>
    <row r="22" ht="16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VLOOKUP($J$9,$W$3:$KV$4,39,0)</f>
        <v>3000 with obstacles</v>
      </c>
      <c r="AY22" s="8" t="str">
        <f>VLOOKUP($J$9,$W$3:$KV$4,156,0)</f>
        <v>F -63 Kg</v>
      </c>
      <c r="AZ22" s="8" t="str">
        <f>VLOOKUP($J$9,$W$3:$KV$4,171,0)</f>
        <v>Kata</v>
      </c>
      <c r="BE22" s="8" t="str">
        <f>VLOOKUP($J$9,$W$3:$KV$4,228,0)</f>
        <v>W4-</v>
      </c>
      <c r="BH22" s="8"/>
      <c r="BP22" s="8" t="str">
        <f>VLOOKUP($J$9,$W$3:$KV$4,17,0)</f>
        <v>100 m butterfly</v>
      </c>
      <c r="BY22" s="8" t="str">
        <f>VLOOKUP($J$9,$W$3:$KV$4,192,0)</f>
        <v>Freestyle M 97 Kg</v>
      </c>
    </row>
    <row r="23" ht="16.5" customHeight="1">
      <c r="A23" s="21"/>
      <c r="B23" s="28">
        <v>13.0</v>
      </c>
      <c r="C23" s="34"/>
      <c r="D23" s="34"/>
      <c r="E23" s="35"/>
      <c r="F23" s="35"/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VLOOKUP($J$9,$W$3:$KV$4,40,0)</f>
        <v>4x100m</v>
      </c>
      <c r="AY23" s="8" t="str">
        <f>VLOOKUP($J$9,$W$3:$KV$4,157,0)</f>
        <v>F -70 Kg</v>
      </c>
      <c r="BE23" s="8" t="str">
        <f>VLOOKUP($J$9,$W$3:$KV$4,229,0)</f>
        <v>LW2x</v>
      </c>
      <c r="BH23" s="8"/>
      <c r="BP23" s="8" t="str">
        <f t="shared" ref="BP23:BP24" si="1">VLOOKUP($J$9,$W$3:$KV$4,18,0)</f>
        <v>200 m butterfly</v>
      </c>
      <c r="BY23" s="8" t="str">
        <f>VLOOKUP($J$9,$W$3:$KV$4,193,0)</f>
        <v>Freestyle M 125 Kg</v>
      </c>
    </row>
    <row r="24" ht="16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VLOOKUP($J$9,$W$3:$KV$4,41,0)</f>
        <v>4x400m</v>
      </c>
      <c r="AY24" s="8" t="str">
        <f>VLOOKUP($J$9,$W$3:$KV$4,158,0)</f>
        <v>F -78 Kg</v>
      </c>
      <c r="BE24" s="8" t="str">
        <f>VLOOKUP($J$9,$W$3:$KV$4,230,0)</f>
        <v>Mixed 8+</v>
      </c>
      <c r="BP24" s="8" t="str">
        <f t="shared" si="1"/>
        <v>200 m butterfly</v>
      </c>
      <c r="BY24" s="8" t="str">
        <f>VLOOKUP($J$9,$W$3:$KV$4,194,0)</f>
        <v>Freestyle F 50 Kg</v>
      </c>
    </row>
    <row r="25" ht="13.5" customHeight="1">
      <c r="A25" s="1"/>
      <c r="B25" s="28">
        <v>15.0</v>
      </c>
      <c r="C25" s="34"/>
      <c r="D25" s="34"/>
      <c r="E25" s="35"/>
      <c r="F25" s="35"/>
      <c r="G25" s="35"/>
      <c r="H25" s="35"/>
      <c r="I25" s="35"/>
      <c r="J25" s="3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VLOOKUP($J$9,$W$3:$KV$4,42,0)</f>
        <v>High jump</v>
      </c>
      <c r="AY25" s="8" t="str">
        <f>VLOOKUP($J$9,$W$3:$KV$4,159,0)</f>
        <v>F +78 Kg</v>
      </c>
      <c r="BP25" s="8" t="str">
        <f>VLOOKUP($J$9,$W$3:$KV$4,19,0)</f>
        <v>200 m Combined individual</v>
      </c>
      <c r="BY25" s="8" t="str">
        <f>VLOOKUP($J$9,$W$3:$KV$4,195,0)</f>
        <v>Freestyle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VLOOKUP($J$9,$W$3:$KV$4,43,0)</f>
        <v>Long jump</v>
      </c>
      <c r="AY26" s="8" t="str">
        <f>VLOOKUP($J$9,$W$3:$KV$4,160,0)</f>
        <v>Mixed Team</v>
      </c>
      <c r="BP26" s="8" t="str">
        <f>VLOOKUP($J$9,$W$3:$KV$4,20,0)</f>
        <v>400 m Combined individual</v>
      </c>
      <c r="BY26" s="8" t="str">
        <f>VLOOKUP($J$9,$W$3:$KV$4,196,0)</f>
        <v>Freestyle F 57 Kg</v>
      </c>
    </row>
    <row r="27" ht="13.5" customHeight="1">
      <c r="A27" s="1"/>
      <c r="B27" s="28">
        <v>17.0</v>
      </c>
      <c r="C27" s="29"/>
      <c r="D27" s="29"/>
      <c r="E27" s="30"/>
      <c r="F27" s="30"/>
      <c r="G27" s="30"/>
      <c r="H27" s="30"/>
      <c r="I27" s="30"/>
      <c r="J27" s="30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VLOOKUP($J$9,$W$3:$KV$4,44,0)</f>
        <v>Triple jump</v>
      </c>
      <c r="BP27" s="8" t="str">
        <f>VLOOKUP($J$9,$W$3:$KV$4,21,0)</f>
        <v>4 x 100 m freestyle relay</v>
      </c>
      <c r="BY27" s="8" t="str">
        <f>VLOOKUP($J$9,$W$3:$KV$4,197,0)</f>
        <v>Freestyle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VLOOKUP($J$9,$W$3:$KV$4,45,0)</f>
        <v>Pole Vault</v>
      </c>
      <c r="BP28" s="8" t="str">
        <f>VLOOKUP($J$9,$W$3:$KV$4,22,0)</f>
        <v>4 x 200 m freestyle relay</v>
      </c>
      <c r="BY28" s="8" t="str">
        <f>VLOOKUP($J$9,$W$3:$KV$4,198,0)</f>
        <v>Freestyle F 68 Kg</v>
      </c>
    </row>
    <row r="29" ht="13.5" customHeight="1">
      <c r="A29" s="1"/>
      <c r="B29" s="28">
        <v>19.0</v>
      </c>
      <c r="C29" s="34"/>
      <c r="D29" s="34"/>
      <c r="E29" s="35"/>
      <c r="F29" s="35"/>
      <c r="G29" s="35"/>
      <c r="H29" s="35"/>
      <c r="I29" s="35"/>
      <c r="J29" s="3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VLOOKUP($J$9,$W$3:$KV$4,46,0)</f>
        <v>Put Shot</v>
      </c>
      <c r="BP29" s="8" t="str">
        <f>VLOOKUP($J$9,$W$3:$KV$4,23,0)</f>
        <v>4 x 100 m combined relay</v>
      </c>
      <c r="BY29" s="8" t="str">
        <f>VLOOKUP($J$9,$W$3:$KV$4,199,0)</f>
        <v>Freestyle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VLOOKUP($J$9,$W$3:$KV$4,47,0)</f>
        <v>Discus throw</v>
      </c>
      <c r="BP30" s="8" t="str">
        <f>VLOOKUP($J$9,$W$3:$KV$4,24,0)</f>
        <v>Mixed 4 x 100 m freestyle relay</v>
      </c>
    </row>
    <row r="31" ht="13.5" customHeight="1">
      <c r="A31" s="1"/>
      <c r="B31" s="28">
        <v>21.0</v>
      </c>
      <c r="C31" s="34"/>
      <c r="D31" s="34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VLOOKUP($J$9,$W$3:$KV$4,48,0)</f>
        <v>Javelin throw</v>
      </c>
      <c r="BP31" s="8" t="str">
        <f>VLOOKUP($J$9,$W$3:$KV$4,25,0)</f>
        <v>Mixed 4 x 100 m combined relay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VLOOKUP($J$9,$W$3:$KV$4,49,0)</f>
        <v>Hammer throw</v>
      </c>
    </row>
    <row r="33" ht="13.5" customHeight="1">
      <c r="A33" s="1"/>
      <c r="B33" s="28">
        <v>23.0</v>
      </c>
      <c r="C33" s="29"/>
      <c r="D33" s="29"/>
      <c r="E33" s="30"/>
      <c r="F33" s="30"/>
      <c r="G33" s="30"/>
      <c r="H33" s="30"/>
      <c r="I33" s="30"/>
      <c r="J33" s="30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VLOOKUP($J$9,$W$3:$KV$4,50,0)</f>
        <v>20 km march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VLOOKUP($J$9,$W$3:$KV$4,51,0)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VLOOKUP($J$9,$W$3:$KV$4,52,0)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VLOOKUP($J$9,$W$3:$KV$4,53,0)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VLOOKUP($J$9,$W$3:$KV$4,54,0)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VLOOKUP($J$9,$W$3:$KV$4,55,0)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E11:E34">
      <formula1>BMF!$CA$12:$CA$13</formula1>
    </dataValidation>
    <dataValidation type="list" allowBlank="1" showErrorMessage="1" sqref="F11:F34">
      <formula1>BMF!$AF$12</formula1>
    </dataValidation>
  </dataValidations>
  <printOptions/>
  <pageMargins bottom="0.75" footer="0.0" header="0.0" left="0.75" right="0.25" top="1.0"/>
  <pageSetup fitToHeight="0" paperSize="9" orientation="landscape"/>
  <drawing r:id="rId1"/>
</worksheet>
</file>