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D" sheetId="1" r:id="rId4"/>
  </sheets>
  <definedNames/>
  <calcPr/>
</workbook>
</file>

<file path=xl/sharedStrings.xml><?xml version="1.0" encoding="utf-8"?>
<sst xmlns="http://schemas.openxmlformats.org/spreadsheetml/2006/main" count="1102" uniqueCount="671">
  <si>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</si>
  <si>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</si>
  <si>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</si>
  <si>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</si>
  <si>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</si>
  <si>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</si>
  <si>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</si>
  <si>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</si>
  <si>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</si>
  <si>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</si>
  <si>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</si>
  <si>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</si>
  <si>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</si>
  <si>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</si>
  <si>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</si>
  <si>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</si>
  <si>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</si>
  <si>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</si>
  <si>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</si>
  <si>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</si>
  <si>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</si>
  <si>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</si>
  <si>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</si>
  <si>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</si>
  <si>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</si>
  <si>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</si>
  <si>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</si>
  <si>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</si>
  <si>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</si>
  <si>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</si>
  <si>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</si>
  <si>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</si>
  <si>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</si>
  <si>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</si>
  <si>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</si>
  <si>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</si>
  <si>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</si>
  <si>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</si>
  <si>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</si>
  <si>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</si>
  <si>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</si>
  <si>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</si>
  <si>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</si>
  <si>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</si>
  <si>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</si>
  <si>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</si>
  <si>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</si>
  <si>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</si>
  <si>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</si>
  <si>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</si>
  <si>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</si>
  <si>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</si>
  <si>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</si>
  <si>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</si>
  <si>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</si>
  <si>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</si>
  <si>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</si>
  <si>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</si>
  <si>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</si>
  <si>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</si>
  <si>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</si>
  <si>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</si>
  <si>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</si>
  <si>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</si>
  <si>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</si>
  <si>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</si>
  <si>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</si>
  <si>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</si>
  <si>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</si>
  <si>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</si>
  <si>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</si>
  <si>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</si>
  <si>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</si>
  <si>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</si>
  <si>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</si>
  <si>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</si>
  <si>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</si>
  <si>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</si>
  <si>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</si>
  <si>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</si>
  <si>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</si>
  <si>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</si>
  <si>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</si>
  <si>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</si>
  <si>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</si>
  <si>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</si>
  <si>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</si>
  <si>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</si>
  <si>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</si>
  <si>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</si>
  <si>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</si>
  <si>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</si>
  <si>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</si>
  <si>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</si>
  <si>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</si>
  <si>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</si>
  <si>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</si>
  <si>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</si>
  <si>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</si>
  <si>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</si>
  <si>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</si>
  <si>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</si>
  <si>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</si>
  <si>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</si>
  <si>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</si>
  <si>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</si>
  <si>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</si>
  <si>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</si>
  <si>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</si>
  <si>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</si>
  <si>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</si>
  <si>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</si>
  <si>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</si>
  <si>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</si>
  <si>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</si>
  <si>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</si>
  <si>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</si>
  <si>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</si>
  <si>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</si>
  <si>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</si>
  <si>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</si>
  <si>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</si>
  <si>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</si>
  <si>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</si>
  <si>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</si>
  <si>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</si>
  <si>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</si>
  <si>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</si>
  <si>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</si>
  <si>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</si>
  <si>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</si>
  <si>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</si>
  <si>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</si>
  <si>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</si>
  <si>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</si>
  <si>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</si>
  <si>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</si>
  <si>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</si>
  <si>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</si>
  <si>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</si>
  <si>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</si>
  <si>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</si>
  <si>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</si>
  <si>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</si>
  <si>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</si>
  <si>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</si>
  <si>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</si>
  <si>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</si>
  <si>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</si>
  <si>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</si>
  <si>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</si>
  <si>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</si>
  <si>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</si>
  <si>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</si>
  <si>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</si>
  <si>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</si>
  <si>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</si>
  <si>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</si>
  <si>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</si>
  <si>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</si>
  <si>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</si>
  <si>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</si>
  <si>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</si>
  <si>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</si>
  <si>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</si>
  <si>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</si>
  <si>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</si>
  <si>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</si>
  <si>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</si>
  <si>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</si>
  <si>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</si>
  <si>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</si>
  <si>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</si>
  <si>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</si>
  <si>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</si>
  <si>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</si>
  <si>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</si>
  <si>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</si>
  <si>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</si>
  <si>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</si>
  <si>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</si>
  <si>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</si>
  <si>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</si>
  <si>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</si>
  <si>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</si>
  <si>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</si>
  <si>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</si>
  <si>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</si>
  <si>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</si>
  <si>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</si>
  <si>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</si>
  <si>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</si>
  <si>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</si>
  <si>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</si>
  <si>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</si>
  <si>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</si>
  <si>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</si>
  <si>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</si>
  <si>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</si>
  <si>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</si>
  <si>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</si>
  <si>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</si>
  <si>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</si>
  <si>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</si>
  <si>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</si>
  <si>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</si>
  <si>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</si>
  <si>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</si>
  <si>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</si>
  <si>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</si>
  <si>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</si>
  <si>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</si>
  <si>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</si>
  <si>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</si>
  <si>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</si>
  <si>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</si>
  <si>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</si>
  <si>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</si>
  <si>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</si>
  <si>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</si>
  <si>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</si>
  <si>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</si>
  <si>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</si>
  <si>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</si>
  <si>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</si>
  <si>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</si>
  <si>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</si>
  <si>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</si>
  <si>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</si>
  <si>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</si>
  <si>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</si>
  <si>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</si>
  <si>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</si>
  <si>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</si>
  <si>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</si>
  <si>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</si>
  <si>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</si>
  <si>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</si>
  <si>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</si>
  <si>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</si>
  <si>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</si>
  <si>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</si>
  <si>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</si>
  <si>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</si>
  <si>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</si>
  <si>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</si>
  <si>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</si>
  <si>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</si>
  <si>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</si>
  <si>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</si>
  <si>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</si>
  <si>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</si>
  <si>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</si>
  <si>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</si>
  <si>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</si>
  <si>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</si>
  <si>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</si>
  <si>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</si>
  <si>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</si>
  <si>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</si>
  <si>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</si>
  <si>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</si>
  <si>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</si>
  <si>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</si>
  <si>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</si>
  <si>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</si>
  <si>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</si>
  <si>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</si>
  <si>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</si>
  <si>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</si>
  <si>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</si>
  <si>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</si>
  <si>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</si>
  <si>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</si>
  <si>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</si>
  <si>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</si>
  <si>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</si>
  <si>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</si>
  <si>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</si>
  <si>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</si>
  <si>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</si>
  <si>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</si>
  <si>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</si>
  <si>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</si>
  <si>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</si>
  <si>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</si>
  <si>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</si>
  <si>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</si>
  <si>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</si>
  <si>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</si>
  <si>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</si>
  <si>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</si>
  <si>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</si>
  <si>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</si>
  <si>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</si>
  <si>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</si>
  <si>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</si>
  <si>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</si>
  <si>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</si>
  <si>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</si>
  <si>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</si>
  <si>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</si>
  <si>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</si>
  <si>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</si>
  <si>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</si>
  <si>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</si>
  <si>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</si>
  <si>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</si>
  <si>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</si>
  <si>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</si>
  <si>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</si>
  <si>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</si>
  <si>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</si>
  <si>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</si>
  <si>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</si>
  <si>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</si>
  <si>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</si>
  <si>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</si>
  <si>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</si>
  <si>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</si>
  <si>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</si>
  <si>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</si>
  <si>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</si>
  <si>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</si>
  <si>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</si>
  <si>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</si>
  <si>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</si>
  <si>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</si>
  <si>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</si>
  <si>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</si>
  <si>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</si>
  <si>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</si>
  <si>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</si>
  <si>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</si>
  <si>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</si>
  <si>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</si>
  <si>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</si>
  <si>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</si>
  <si>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</si>
  <si>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</si>
  <si>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</si>
  <si>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</si>
  <si>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</si>
  <si>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</si>
  <si>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</si>
  <si>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</si>
  <si>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</si>
  <si>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</si>
  <si>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</si>
  <si>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</si>
  <si>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</si>
  <si>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</si>
  <si>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</si>
  <si>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</si>
  <si>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</si>
  <si>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</si>
  <si>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</si>
  <si>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</si>
  <si>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</si>
  <si>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</si>
  <si>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</si>
  <si>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</si>
  <si>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</si>
  <si>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</si>
  <si>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</si>
  <si>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</si>
  <si>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</si>
  <si>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</si>
  <si>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</si>
  <si>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</si>
  <si>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</si>
  <si>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</si>
  <si>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</si>
  <si>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</si>
  <si>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</si>
  <si>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</si>
  <si>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</si>
  <si>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</si>
  <si>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</si>
  <si>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</si>
  <si>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</si>
  <si>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</si>
  <si>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</si>
  <si>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</si>
  <si>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</si>
  <si>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</si>
  <si>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</si>
  <si>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</si>
  <si>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</si>
  <si>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</si>
  <si>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</si>
  <si>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</si>
  <si>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</si>
  <si>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</si>
  <si>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</si>
  <si>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</si>
  <si>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</si>
  <si>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</si>
  <si>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</si>
  <si>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</si>
  <si>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</si>
  <si>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</si>
  <si>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</si>
  <si>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</si>
  <si>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</si>
  <si>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</si>
  <si>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</si>
  <si>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</si>
  <si>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</si>
  <si>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</si>
  <si>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</si>
  <si>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</si>
  <si>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</si>
  <si>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</si>
  <si>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</si>
  <si>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</si>
  <si>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</si>
  <si>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</si>
  <si>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</si>
  <si>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</si>
  <si>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</si>
  <si>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</si>
  <si>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</si>
  <si>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</si>
  <si>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</si>
  <si>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</si>
  <si>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</si>
  <si>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</si>
  <si>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</si>
  <si>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</si>
  <si>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</si>
  <si>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</si>
  <si>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</si>
  <si>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</si>
  <si>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</si>
  <si>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</si>
  <si>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</si>
  <si>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</si>
  <si>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</si>
  <si>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</si>
  <si>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</si>
  <si>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</si>
  <si>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</si>
  <si>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</si>
  <si>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</si>
  <si>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</si>
  <si>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</si>
  <si>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</si>
  <si>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</si>
  <si>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</si>
  <si>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</si>
  <si>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</si>
  <si>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</si>
  <si>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</si>
  <si>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</si>
  <si>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</si>
  <si>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</si>
  <si>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</si>
  <si>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</si>
  <si>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</si>
  <si>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</si>
  <si>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</si>
  <si>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</si>
  <si>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</si>
  <si>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</si>
  <si>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</si>
  <si>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</si>
  <si>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</si>
  <si>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</si>
  <si>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</si>
  <si>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</si>
  <si>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</si>
  <si>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</si>
  <si>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</si>
  <si>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</si>
  <si>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</si>
  <si>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</si>
  <si>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</si>
  <si>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</si>
  <si>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</si>
  <si>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</si>
  <si>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</si>
  <si>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</si>
  <si>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</si>
  <si>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</si>
  <si>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</si>
  <si>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</si>
  <si>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</si>
  <si>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</si>
  <si>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</si>
  <si>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</si>
  <si>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</si>
  <si>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</si>
  <si>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</si>
  <si>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</si>
  <si>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</si>
  <si>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</si>
  <si>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</si>
  <si>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</si>
  <si>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</si>
  <si>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</si>
  <si>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</si>
  <si>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</si>
  <si>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</si>
  <si>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</si>
  <si>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</si>
  <si>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</si>
  <si>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</si>
  <si>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</si>
  <si>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</si>
  <si>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</si>
  <si>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</si>
  <si>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</si>
  <si>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</si>
  <si>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</si>
  <si>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</si>
  <si>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</si>
  <si>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</si>
  <si>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</si>
  <si>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</si>
  <si>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</si>
  <si>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</si>
  <si>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</si>
  <si>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</si>
  <si>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</si>
  <si>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</si>
  <si>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</si>
  <si>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</si>
  <si>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</si>
  <si>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</si>
  <si>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</si>
  <si>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</si>
  <si>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</si>
  <si>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</si>
  <si>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</si>
  <si>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</si>
  <si>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</si>
  <si>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</si>
  <si>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</si>
  <si>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</si>
  <si>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</si>
  <si>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</si>
  <si>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</si>
  <si>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</si>
  <si>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</si>
  <si>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</si>
  <si>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</si>
  <si>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</si>
  <si>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</si>
  <si>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</si>
  <si>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</si>
  <si>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</si>
  <si>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</si>
  <si>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</si>
  <si>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</si>
  <si>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</si>
  <si>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</si>
  <si>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</si>
  <si>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</si>
  <si>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</si>
  <si>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</si>
  <si>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</si>
  <si>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</si>
  <si>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</si>
  <si>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</si>
  <si>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</si>
  <si>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</si>
  <si>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</si>
  <si>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</si>
  <si>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</si>
  <si>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</si>
  <si>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</si>
  <si>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</si>
  <si>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</si>
  <si>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</si>
  <si>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</si>
  <si>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</si>
  <si>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</si>
  <si>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</si>
  <si>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</si>
  <si>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</si>
  <si>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</si>
  <si>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</si>
  <si>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</si>
  <si>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</si>
  <si>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</si>
  <si>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</si>
  <si>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</si>
  <si>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</si>
  <si>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</si>
  <si>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</si>
  <si>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</si>
  <si>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</si>
  <si>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</si>
  <si>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</si>
  <si>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</si>
  <si>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</si>
  <si>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</si>
  <si>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</si>
  <si>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</si>
  <si>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</si>
  <si>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</si>
  <si>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</si>
  <si>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</si>
  <si>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</si>
  <si>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</si>
  <si>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</si>
  <si>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</si>
  <si>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</si>
  <si>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</si>
  <si>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</si>
  <si>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</si>
  <si>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</si>
  <si>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</si>
  <si>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UCI - ID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</si>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</sst>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b/>
      <sz val="10.0"/>
      <color rgb="FFFFFFFF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2" fillId="4" fontId="16" numFmtId="0" xfId="0" applyAlignment="1" applyBorder="1" applyFont="1">
      <alignment horizontal="center" readingOrder="0" shrinkToFit="0" vertical="center" wrapText="1"/>
    </xf>
    <xf borderId="0" fillId="0" fontId="17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247650</xdr:colOff>
      <xdr:row>0</xdr:row>
      <xdr:rowOff>104775</xdr:rowOff>
    </xdr:from>
    <xdr:ext cx="1905000" cy="1171575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209550</xdr:colOff>
      <xdr:row>1</xdr:row>
      <xdr:rowOff>95250</xdr:rowOff>
    </xdr:from>
    <xdr:ext cx="904875" cy="10096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29.25"/>
    <col customWidth="1" min="7" max="8" width="11.63"/>
    <col customWidth="1" min="9" max="9" width="13.0"/>
    <col customWidth="1" min="10" max="10" width="15.75"/>
    <col customWidth="1" min="11" max="12" width="13.0"/>
    <col customWidth="1" min="13" max="13" width="16.13"/>
    <col customWidth="1" min="14" max="14" width="13.0"/>
    <col customWidth="1" min="15" max="15" width="14.63"/>
    <col customWidth="1" min="16" max="16" width="13.75"/>
    <col customWidth="1" min="17" max="23" width="7.38"/>
    <col customWidth="1" min="24" max="25" width="18.75"/>
    <col customWidth="1" min="26" max="26" width="20.25"/>
    <col customWidth="1" min="27" max="27" width="22.63"/>
    <col customWidth="1" min="28" max="28" width="23.75"/>
    <col customWidth="1" min="29" max="40" width="14.13"/>
    <col customWidth="1" min="41" max="42" width="21.25"/>
    <col customWidth="1" min="43" max="44" width="19.13"/>
    <col customWidth="1" min="45" max="45" width="21.0"/>
    <col customWidth="1" min="46" max="46" width="24.0"/>
    <col customWidth="1" min="47" max="47" width="25.5"/>
    <col customWidth="1" min="48" max="49" width="20.13"/>
    <col customWidth="1" min="50" max="50" width="17.38"/>
    <col customWidth="1" min="51" max="51" width="18.25"/>
    <col customWidth="1" min="52" max="58" width="13.63"/>
    <col customWidth="1" min="59" max="59" width="14.0"/>
    <col customWidth="1" min="60" max="60" width="13.63"/>
    <col customWidth="1" min="61" max="61" width="16.25"/>
    <col customWidth="1" min="62" max="64" width="13.63"/>
    <col customWidth="1" min="65" max="65" width="14.0"/>
    <col customWidth="1" min="66" max="66" width="13.63"/>
    <col customWidth="1" min="67" max="67" width="14.13"/>
    <col customWidth="1" min="68" max="68" width="16.63"/>
    <col customWidth="1" min="69" max="69" width="17.5"/>
    <col customWidth="1" min="70" max="70" width="19.5"/>
    <col customWidth="1" min="71" max="71" width="18.75"/>
    <col customWidth="1" min="72" max="75" width="13.63"/>
    <col customWidth="1" min="76" max="76" width="16.0"/>
    <col customWidth="1" min="77" max="77" width="13.63"/>
    <col customWidth="1" min="78" max="80" width="15.38"/>
    <col customWidth="1" min="81" max="81" width="14.88"/>
    <col customWidth="1" min="82" max="82" width="17.88"/>
    <col customWidth="1" min="83" max="83" width="14.88"/>
    <col customWidth="1" min="84" max="84" width="11.63"/>
    <col customWidth="1" min="85" max="85" width="11.38"/>
    <col customWidth="1" min="86" max="87" width="12.88"/>
    <col customWidth="1" min="88" max="100" width="11.13"/>
    <col customWidth="1" min="101" max="101" width="13.0"/>
    <col customWidth="1" min="102" max="111" width="21.5"/>
    <col customWidth="1" min="112" max="114" width="19.13"/>
    <col customWidth="1" min="115" max="115" width="25.13"/>
    <col customWidth="1" min="116" max="116" width="23.38"/>
    <col customWidth="1" min="117" max="117" width="25.38"/>
    <col customWidth="1" min="118" max="119" width="17.63"/>
    <col customWidth="1" min="120" max="125" width="17.5"/>
    <col customWidth="1" min="126" max="127" width="25.75"/>
    <col customWidth="1" min="128" max="129" width="26.88"/>
    <col customWidth="1" min="130" max="131" width="17.38"/>
    <col customWidth="1" min="132" max="133" width="20.38"/>
    <col customWidth="1" min="134" max="134" width="14.13"/>
    <col customWidth="1" min="135" max="135" width="13.75"/>
    <col customWidth="1" min="136" max="136" width="13.0"/>
    <col customWidth="1" min="137" max="137" width="13.13"/>
    <col customWidth="1" min="138" max="138" width="12.63"/>
    <col customWidth="1" min="139" max="139" width="12.25"/>
    <col customWidth="1" min="140" max="144" width="17.75"/>
    <col customWidth="1" min="145" max="145" width="10.88"/>
    <col customWidth="1" min="146" max="155" width="21.13"/>
    <col customWidth="1" min="156" max="163" width="20.38"/>
    <col customWidth="1" min="164" max="165" width="22.25"/>
    <col customWidth="1" min="166" max="166" width="9.38"/>
    <col customWidth="1" min="167" max="167" width="18.13"/>
    <col customWidth="1" min="168" max="181" width="9.88"/>
    <col customWidth="1" min="182" max="182" width="11.13"/>
    <col customWidth="1" min="183" max="186" width="11.5"/>
    <col customWidth="1" min="187" max="187" width="12.0"/>
    <col customWidth="1" min="188" max="190" width="11.5"/>
    <col customWidth="1" min="191" max="192" width="12.0"/>
    <col customWidth="1" min="193" max="193" width="11.0"/>
    <col customWidth="1" min="194" max="203" width="24.63"/>
    <col customWidth="1" min="204" max="208" width="16.0"/>
    <col customWidth="1" min="209" max="209" width="16.88"/>
    <col customWidth="1" min="210" max="214" width="14.5"/>
    <col customWidth="1" min="215" max="215" width="15.5"/>
    <col customWidth="1" min="216" max="221" width="14.13"/>
    <col customWidth="1" min="222" max="222" width="19.0"/>
    <col customWidth="1" min="223" max="226" width="19.75"/>
    <col customWidth="1" min="227" max="228" width="17.0"/>
    <col customWidth="1" min="229" max="229" width="24.88"/>
    <col customWidth="1" min="230" max="230" width="26.63"/>
    <col customWidth="1" min="231" max="231" width="21.5"/>
    <col customWidth="1" min="232" max="232" width="15.38"/>
    <col customWidth="1" min="233" max="235" width="21.75"/>
    <col customWidth="1" min="236" max="239" width="14.13"/>
    <col customWidth="1" min="240" max="252" width="11.63"/>
    <col customWidth="1" min="253" max="253" width="12.75"/>
    <col customWidth="1" min="254" max="257" width="12.13"/>
    <col customWidth="1" min="258" max="261" width="9.25"/>
    <col customWidth="1" min="262" max="269" width="15.5"/>
    <col customWidth="1" min="270" max="270" width="24.13"/>
    <col customWidth="1" min="271" max="271" width="19.63"/>
    <col customWidth="1" min="272" max="273" width="10.25"/>
    <col customWidth="1" min="274" max="274" width="11.75"/>
    <col customWidth="1" min="275" max="278" width="16.75"/>
    <col customWidth="1" min="279" max="279" width="15.25"/>
    <col customWidth="1" min="280" max="280" width="17.0"/>
    <col customWidth="1" min="281" max="282" width="15.25"/>
    <col customWidth="1" min="283" max="283" width="17.25"/>
    <col customWidth="1" min="284" max="284" width="19.63"/>
    <col customWidth="1" min="285" max="285" width="18.0"/>
    <col customWidth="1" min="286" max="286" width="14.0"/>
    <col customWidth="1" min="287" max="287" width="15.75"/>
    <col customWidth="1" min="288" max="288" width="23.25"/>
    <col customWidth="1" min="289" max="289" width="17.25"/>
    <col customWidth="1" min="290" max="291" width="9.63"/>
    <col customWidth="1" min="292" max="292" width="18.5"/>
    <col customWidth="1" min="293" max="293" width="20.13"/>
    <col customWidth="1" min="294" max="294" width="10.13"/>
    <col customWidth="1" min="295" max="295" width="11.5"/>
    <col customWidth="1" min="296" max="296" width="12.25"/>
    <col customWidth="1" min="297" max="297" width="16.88"/>
    <col customWidth="1" min="298" max="299" width="11.75"/>
    <col customWidth="1" min="300" max="300" width="11.5"/>
    <col customWidth="1" min="301" max="301" width="9.38"/>
    <col customWidth="1" min="302" max="302" width="11.63"/>
    <col customWidth="1" min="303" max="303" width="14.38"/>
    <col customWidth="1" min="304" max="304" width="22.0"/>
    <col customWidth="1" min="305" max="305" width="16.63"/>
    <col customWidth="1" min="306" max="306" width="18.88"/>
    <col customWidth="1" min="307" max="307" width="12.88"/>
    <col customWidth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VLOOKUP($J$9,$W$7:$CA$8,57,0)</f>
        <v>Datos Específicos para Sport Entries</v>
      </c>
      <c r="E3" s="14"/>
      <c r="F3" s="15"/>
      <c r="G3" s="15"/>
      <c r="H3" s="15"/>
      <c r="I3" s="11"/>
      <c r="J3" s="11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VLOOKUP($J$9,$W$7:$BZ$8,15,0)</f>
        <v>Ciclismo de Ruta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X5" s="12" t="s">
        <v>500</v>
      </c>
      <c r="AY5" s="12" t="s">
        <v>501</v>
      </c>
      <c r="AZ5" s="12" t="s">
        <v>502</v>
      </c>
      <c r="BA5" s="12" t="s">
        <v>503</v>
      </c>
      <c r="BB5" s="12" t="s">
        <v>504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W6" s="12" t="s">
        <v>325</v>
      </c>
      <c r="X6" s="8" t="s">
        <v>505</v>
      </c>
      <c r="Y6" s="8" t="s">
        <v>506</v>
      </c>
      <c r="Z6" s="8" t="s">
        <v>507</v>
      </c>
      <c r="AA6" s="8" t="s">
        <v>508</v>
      </c>
      <c r="AB6" s="12" t="s">
        <v>509</v>
      </c>
      <c r="AC6" s="12" t="s">
        <v>510</v>
      </c>
      <c r="AD6" s="12" t="s">
        <v>511</v>
      </c>
      <c r="AE6" s="12" t="s">
        <v>512</v>
      </c>
      <c r="AF6" s="12" t="s">
        <v>513</v>
      </c>
      <c r="AG6" s="12" t="s">
        <v>514</v>
      </c>
      <c r="AH6" s="12" t="s">
        <v>515</v>
      </c>
      <c r="AI6" s="12" t="s">
        <v>516</v>
      </c>
      <c r="AJ6" s="12" t="s">
        <v>517</v>
      </c>
      <c r="AK6" s="12" t="s">
        <v>518</v>
      </c>
      <c r="AL6" s="12" t="s">
        <v>519</v>
      </c>
      <c r="AM6" s="12" t="s">
        <v>520</v>
      </c>
      <c r="AN6" s="12" t="s">
        <v>521</v>
      </c>
      <c r="AO6" s="12" t="s">
        <v>522</v>
      </c>
      <c r="AP6" s="12" t="s">
        <v>523</v>
      </c>
      <c r="AQ6" s="12" t="s">
        <v>524</v>
      </c>
      <c r="AR6" s="12" t="s">
        <v>525</v>
      </c>
      <c r="AS6" s="12" t="s">
        <v>526</v>
      </c>
      <c r="AT6" s="12" t="s">
        <v>527</v>
      </c>
      <c r="AU6" s="12" t="s">
        <v>528</v>
      </c>
      <c r="AV6" s="12" t="s">
        <v>529</v>
      </c>
      <c r="AX6" s="12" t="s">
        <v>530</v>
      </c>
      <c r="AY6" s="12" t="s">
        <v>531</v>
      </c>
      <c r="AZ6" s="12" t="s">
        <v>532</v>
      </c>
      <c r="BA6" s="12" t="s">
        <v>533</v>
      </c>
      <c r="BB6" s="12" t="s">
        <v>534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535</v>
      </c>
      <c r="Y7" s="12" t="s">
        <v>536</v>
      </c>
      <c r="Z7" s="12" t="s">
        <v>537</v>
      </c>
      <c r="AA7" s="12" t="s">
        <v>120</v>
      </c>
      <c r="AB7" s="12" t="s">
        <v>538</v>
      </c>
      <c r="AC7" s="12" t="s">
        <v>118</v>
      </c>
      <c r="AD7" s="12" t="s">
        <v>117</v>
      </c>
      <c r="AE7" s="12" t="s">
        <v>135</v>
      </c>
      <c r="AF7" s="12" t="s">
        <v>149</v>
      </c>
      <c r="AG7" s="12" t="s">
        <v>150</v>
      </c>
      <c r="AH7" s="12" t="s">
        <v>539</v>
      </c>
      <c r="AI7" s="12" t="s">
        <v>540</v>
      </c>
      <c r="AJ7" s="12" t="s">
        <v>541</v>
      </c>
      <c r="AK7" s="12" t="s">
        <v>542</v>
      </c>
      <c r="AL7" s="12" t="s">
        <v>543</v>
      </c>
      <c r="AM7" s="12" t="s">
        <v>544</v>
      </c>
      <c r="AN7" s="12" t="s">
        <v>545</v>
      </c>
      <c r="AO7" s="12" t="s">
        <v>546</v>
      </c>
      <c r="AP7" s="12" t="s">
        <v>547</v>
      </c>
      <c r="AQ7" s="12" t="s">
        <v>179</v>
      </c>
      <c r="AR7" s="12" t="s">
        <v>548</v>
      </c>
      <c r="AS7" s="12" t="s">
        <v>549</v>
      </c>
      <c r="AT7" s="12" t="s">
        <v>197</v>
      </c>
      <c r="AU7" s="12" t="s">
        <v>550</v>
      </c>
      <c r="AV7" s="12" t="s">
        <v>551</v>
      </c>
      <c r="AW7" s="12" t="s">
        <v>119</v>
      </c>
      <c r="AX7" s="12" t="s">
        <v>198</v>
      </c>
      <c r="AY7" s="12" t="s">
        <v>552</v>
      </c>
      <c r="AZ7" s="12" t="s">
        <v>553</v>
      </c>
      <c r="BA7" s="12" t="s">
        <v>554</v>
      </c>
      <c r="BB7" s="12" t="s">
        <v>555</v>
      </c>
      <c r="BC7" s="12" t="s">
        <v>556</v>
      </c>
      <c r="BD7" s="12" t="s">
        <v>557</v>
      </c>
      <c r="BE7" s="12" t="s">
        <v>558</v>
      </c>
      <c r="BF7" s="12" t="s">
        <v>559</v>
      </c>
      <c r="BG7" s="12" t="s">
        <v>280</v>
      </c>
      <c r="BH7" s="12" t="s">
        <v>560</v>
      </c>
      <c r="BI7" s="12" t="s">
        <v>121</v>
      </c>
      <c r="BJ7" s="12" t="s">
        <v>561</v>
      </c>
      <c r="BK7" s="12" t="s">
        <v>562</v>
      </c>
      <c r="BL7" s="12" t="s">
        <v>563</v>
      </c>
      <c r="BM7" s="12" t="s">
        <v>564</v>
      </c>
      <c r="BN7" s="12" t="s">
        <v>565</v>
      </c>
      <c r="BO7" s="12" t="s">
        <v>566</v>
      </c>
      <c r="BP7" s="12" t="s">
        <v>567</v>
      </c>
      <c r="BQ7" s="12" t="s">
        <v>568</v>
      </c>
      <c r="BR7" s="12" t="s">
        <v>569</v>
      </c>
      <c r="BS7" s="12" t="s">
        <v>570</v>
      </c>
      <c r="BT7" s="12" t="s">
        <v>571</v>
      </c>
      <c r="BU7" s="12" t="s">
        <v>322</v>
      </c>
      <c r="BV7" s="12" t="s">
        <v>321</v>
      </c>
      <c r="BW7" s="12" t="s">
        <v>572</v>
      </c>
      <c r="BX7" s="12" t="s">
        <v>573</v>
      </c>
      <c r="BY7" s="12" t="s">
        <v>574</v>
      </c>
      <c r="BZ7" s="12" t="s">
        <v>575</v>
      </c>
      <c r="CA7" s="12" t="s">
        <v>576</v>
      </c>
      <c r="CB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325</v>
      </c>
      <c r="X8" s="12" t="s">
        <v>578</v>
      </c>
      <c r="Y8" s="12" t="s">
        <v>579</v>
      </c>
      <c r="Z8" s="12" t="s">
        <v>580</v>
      </c>
      <c r="AA8" s="12" t="s">
        <v>374</v>
      </c>
      <c r="AB8" s="12" t="s">
        <v>581</v>
      </c>
      <c r="AC8" s="12" t="s">
        <v>372</v>
      </c>
      <c r="AD8" s="12" t="s">
        <v>371</v>
      </c>
      <c r="AE8" s="12" t="s">
        <v>135</v>
      </c>
      <c r="AF8" s="12" t="s">
        <v>149</v>
      </c>
      <c r="AG8" s="12" t="s">
        <v>150</v>
      </c>
      <c r="AH8" s="12" t="s">
        <v>582</v>
      </c>
      <c r="AI8" s="12" t="s">
        <v>540</v>
      </c>
      <c r="AJ8" s="12" t="s">
        <v>583</v>
      </c>
      <c r="AK8" s="12" t="s">
        <v>584</v>
      </c>
      <c r="AL8" s="12" t="s">
        <v>585</v>
      </c>
      <c r="AM8" s="12" t="s">
        <v>586</v>
      </c>
      <c r="AN8" s="12" t="s">
        <v>587</v>
      </c>
      <c r="AO8" s="12" t="s">
        <v>588</v>
      </c>
      <c r="AP8" s="12" t="s">
        <v>589</v>
      </c>
      <c r="AQ8" s="12" t="s">
        <v>397</v>
      </c>
      <c r="AR8" s="12" t="s">
        <v>590</v>
      </c>
      <c r="AS8" s="12" t="s">
        <v>591</v>
      </c>
      <c r="AT8" s="12" t="s">
        <v>197</v>
      </c>
      <c r="AU8" s="12" t="s">
        <v>592</v>
      </c>
      <c r="AV8" s="12" t="s">
        <v>593</v>
      </c>
      <c r="AW8" s="12" t="s">
        <v>373</v>
      </c>
      <c r="AX8" s="12" t="s">
        <v>415</v>
      </c>
      <c r="AY8" s="12" t="s">
        <v>552</v>
      </c>
      <c r="AZ8" s="12" t="s">
        <v>553</v>
      </c>
      <c r="BA8" s="12" t="s">
        <v>594</v>
      </c>
      <c r="BB8" s="12" t="s">
        <v>595</v>
      </c>
      <c r="BC8" s="12" t="s">
        <v>353</v>
      </c>
      <c r="BD8" s="12" t="s">
        <v>596</v>
      </c>
      <c r="BE8" s="12" t="s">
        <v>597</v>
      </c>
      <c r="BF8" s="12" t="s">
        <v>598</v>
      </c>
      <c r="BG8" s="12" t="s">
        <v>280</v>
      </c>
      <c r="BH8" s="12" t="s">
        <v>599</v>
      </c>
      <c r="BI8" s="12" t="s">
        <v>375</v>
      </c>
      <c r="BJ8" s="12" t="s">
        <v>600</v>
      </c>
      <c r="BK8" s="12" t="s">
        <v>562</v>
      </c>
      <c r="BL8" s="12" t="s">
        <v>563</v>
      </c>
      <c r="BM8" s="12" t="s">
        <v>601</v>
      </c>
      <c r="BN8" s="12" t="s">
        <v>602</v>
      </c>
      <c r="BO8" s="12" t="s">
        <v>603</v>
      </c>
      <c r="BP8" s="12" t="s">
        <v>604</v>
      </c>
      <c r="BQ8" s="12" t="s">
        <v>605</v>
      </c>
      <c r="BR8" s="12" t="s">
        <v>569</v>
      </c>
      <c r="BS8" s="12" t="s">
        <v>606</v>
      </c>
      <c r="BT8" s="12" t="s">
        <v>607</v>
      </c>
      <c r="BU8" s="12" t="s">
        <v>473</v>
      </c>
      <c r="BV8" s="12" t="s">
        <v>472</v>
      </c>
      <c r="BW8" s="12" t="s">
        <v>608</v>
      </c>
      <c r="BX8" s="12" t="s">
        <v>352</v>
      </c>
      <c r="BY8" s="12" t="s">
        <v>609</v>
      </c>
      <c r="BZ8" s="12" t="s">
        <v>610</v>
      </c>
      <c r="CA8" s="12" t="s">
        <v>611</v>
      </c>
      <c r="CB8" s="7" t="s">
        <v>612</v>
      </c>
    </row>
    <row r="9" ht="17.25" customHeight="1">
      <c r="A9" s="8"/>
      <c r="B9" s="19" t="str">
        <f>VLOOKUP($J$9,$W$7:$CB$8,58,0)</f>
        <v>Datos del Atleta</v>
      </c>
      <c r="C9" s="20"/>
      <c r="D9" s="20"/>
      <c r="E9" s="10"/>
      <c r="F9" s="21"/>
      <c r="H9" s="8"/>
      <c r="J9" s="22" t="s">
        <v>59</v>
      </c>
      <c r="L9" s="5"/>
      <c r="M9" s="5"/>
      <c r="N9" s="5"/>
      <c r="Q9" s="5"/>
      <c r="R9" s="5"/>
      <c r="S9" s="8"/>
      <c r="T9" s="8"/>
      <c r="U9" s="8"/>
      <c r="V9" s="8"/>
      <c r="W9" s="12"/>
      <c r="AF9" s="12"/>
    </row>
    <row r="10" ht="45.0" customHeight="1">
      <c r="A10" s="8"/>
      <c r="B10" s="23" t="s">
        <v>613</v>
      </c>
      <c r="C10" s="24" t="str">
        <f>VLOOKUP($J$9,$W$5:$AE$6,2,0)</f>
        <v>Apellido</v>
      </c>
      <c r="D10" s="24" t="str">
        <f>VLOOKUP($J$9,$W$5:$AE$6,3,0)</f>
        <v>Nombre</v>
      </c>
      <c r="E10" s="24" t="str">
        <f>VLOOKUP($J$9,$W$5:$AE$6,4,0)</f>
        <v>Genero</v>
      </c>
      <c r="F10" s="24" t="str">
        <f>VLOOKUP($J$9,$W$5:$AE$6,5,0)</f>
        <v>Evento Deportivo</v>
      </c>
      <c r="G10" s="25" t="str">
        <f>VLOOKUP($J$9,$W$5:KX$6,6,0)</f>
        <v>Peso</v>
      </c>
      <c r="H10" s="25" t="str">
        <f>VLOOKUP($J$9,$W$5:KX$6,7,0)</f>
        <v>Estatura</v>
      </c>
      <c r="I10" s="26" t="s">
        <v>614</v>
      </c>
      <c r="J10" s="25" t="str">
        <f>VLOOKUP($J$9,$W$5:KX$6,9,0)</f>
        <v>Ranking Mundial Individual</v>
      </c>
      <c r="K10" s="5"/>
      <c r="L10" s="5"/>
      <c r="M10" s="5"/>
      <c r="N10" s="5"/>
      <c r="O10" s="5"/>
      <c r="P10" s="5"/>
      <c r="Q10" s="5"/>
      <c r="R10" s="5"/>
      <c r="S10" s="8"/>
      <c r="T10" s="8"/>
      <c r="U10" s="8"/>
      <c r="V10" s="8"/>
      <c r="W10" s="12"/>
    </row>
    <row r="11" ht="13.5" customHeight="1">
      <c r="A11" s="27"/>
      <c r="B11" s="28">
        <v>1.0</v>
      </c>
      <c r="C11" s="29"/>
      <c r="D11" s="29"/>
      <c r="E11" s="30"/>
      <c r="F11" s="30"/>
      <c r="G11" s="30"/>
      <c r="H11" s="30"/>
      <c r="I11" s="30"/>
      <c r="J11" s="30"/>
      <c r="K11" s="5"/>
      <c r="L11" s="5"/>
      <c r="M11" s="5"/>
      <c r="N11" s="5"/>
      <c r="O11" s="5"/>
      <c r="P11" s="5"/>
      <c r="Q11" s="5"/>
      <c r="R11" s="5"/>
      <c r="S11" s="27"/>
      <c r="T11" s="27"/>
      <c r="U11" s="27"/>
      <c r="V11" s="27"/>
      <c r="W11" s="12"/>
      <c r="X11" s="12" t="s">
        <v>615</v>
      </c>
      <c r="Y11" s="12" t="s">
        <v>616</v>
      </c>
      <c r="Z11" s="12" t="s">
        <v>617</v>
      </c>
      <c r="AA11" s="12" t="s">
        <v>618</v>
      </c>
      <c r="AB11" s="12" t="s">
        <v>619</v>
      </c>
      <c r="AC11" s="12" t="s">
        <v>620</v>
      </c>
      <c r="AD11" s="12" t="s">
        <v>621</v>
      </c>
      <c r="AE11" s="12" t="s">
        <v>622</v>
      </c>
      <c r="AF11" s="12" t="s">
        <v>623</v>
      </c>
      <c r="AG11" s="12" t="s">
        <v>624</v>
      </c>
      <c r="AH11" s="12" t="s">
        <v>625</v>
      </c>
      <c r="AI11" s="12" t="s">
        <v>626</v>
      </c>
      <c r="AJ11" s="12" t="s">
        <v>627</v>
      </c>
      <c r="AK11" s="12" t="s">
        <v>628</v>
      </c>
      <c r="AL11" s="12" t="s">
        <v>629</v>
      </c>
      <c r="AM11" s="12" t="s">
        <v>630</v>
      </c>
      <c r="AN11" s="12" t="s">
        <v>631</v>
      </c>
      <c r="AO11" s="12" t="s">
        <v>632</v>
      </c>
      <c r="AP11" s="12" t="s">
        <v>633</v>
      </c>
      <c r="AQ11" s="12" t="s">
        <v>634</v>
      </c>
      <c r="AR11" s="12" t="s">
        <v>635</v>
      </c>
      <c r="AS11" s="12" t="s">
        <v>636</v>
      </c>
      <c r="AT11" s="12" t="s">
        <v>637</v>
      </c>
      <c r="AU11" s="12" t="s">
        <v>638</v>
      </c>
      <c r="AV11" s="12" t="s">
        <v>639</v>
      </c>
      <c r="AW11" s="12" t="s">
        <v>640</v>
      </c>
      <c r="AX11" s="12" t="s">
        <v>641</v>
      </c>
      <c r="AY11" s="12" t="s">
        <v>642</v>
      </c>
      <c r="AZ11" s="12" t="s">
        <v>643</v>
      </c>
      <c r="BA11" s="12" t="s">
        <v>644</v>
      </c>
      <c r="BB11" s="12" t="s">
        <v>645</v>
      </c>
      <c r="BC11" s="12" t="s">
        <v>646</v>
      </c>
      <c r="BD11" s="12" t="s">
        <v>647</v>
      </c>
      <c r="BE11" s="12" t="s">
        <v>648</v>
      </c>
      <c r="BF11" s="12" t="s">
        <v>649</v>
      </c>
      <c r="BG11" s="12" t="s">
        <v>650</v>
      </c>
      <c r="BH11" s="12" t="s">
        <v>651</v>
      </c>
      <c r="BI11" s="12" t="s">
        <v>652</v>
      </c>
      <c r="BJ11" s="12" t="s">
        <v>653</v>
      </c>
      <c r="BK11" s="12" t="s">
        <v>654</v>
      </c>
      <c r="BL11" s="12" t="s">
        <v>655</v>
      </c>
      <c r="BM11" s="12" t="s">
        <v>656</v>
      </c>
      <c r="BN11" s="12" t="s">
        <v>657</v>
      </c>
      <c r="BO11" s="12" t="s">
        <v>658</v>
      </c>
      <c r="BP11" s="12" t="s">
        <v>659</v>
      </c>
      <c r="BQ11" s="12" t="s">
        <v>660</v>
      </c>
      <c r="BR11" s="12" t="s">
        <v>661</v>
      </c>
      <c r="BS11" s="12" t="s">
        <v>662</v>
      </c>
      <c r="BT11" s="12" t="s">
        <v>663</v>
      </c>
      <c r="BU11" s="12" t="s">
        <v>664</v>
      </c>
      <c r="BV11" s="12" t="s">
        <v>665</v>
      </c>
      <c r="BW11" s="12" t="s">
        <v>666</v>
      </c>
      <c r="BX11" s="12" t="s">
        <v>667</v>
      </c>
      <c r="BY11" s="12" t="s">
        <v>668</v>
      </c>
      <c r="BZ11" s="12" t="s">
        <v>669</v>
      </c>
      <c r="CA11" s="12" t="s">
        <v>670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33"/>
      <c r="K12" s="5"/>
      <c r="L12" s="5"/>
      <c r="M12" s="5"/>
      <c r="N12" s="5"/>
      <c r="O12" s="5"/>
      <c r="P12" s="5"/>
      <c r="Q12" s="5"/>
      <c r="R12" s="5"/>
      <c r="S12" s="8"/>
      <c r="T12" s="8"/>
      <c r="U12" s="8"/>
      <c r="V12" s="8"/>
      <c r="W12" s="12"/>
      <c r="X12" s="8" t="str">
        <f>VLOOKUP($J$9,$W$3:$KV$4,257,0)</f>
        <v>Recurvo Individual</v>
      </c>
      <c r="Y12" s="8" t="str">
        <f>VLOOKUP($J$9,$W$3:$KV$4,200,0)</f>
        <v>Libre</v>
      </c>
      <c r="Z12" s="8" t="str">
        <f>VLOOKUP($J$9,$W$3:$KV$4,30,0)</f>
        <v>100m</v>
      </c>
      <c r="AA12" s="8" t="str">
        <f>VLOOKUP($J$9,$W$3:$KV$4,62,0)</f>
        <v>Béisbol</v>
      </c>
      <c r="AB12" s="8" t="str">
        <f>VLOOKUP($J$9,$W$3:$KV$4,56,0)</f>
        <v>Individual</v>
      </c>
      <c r="AC12" s="8" t="str">
        <f>VLOOKUP($J$9,$W$3:$KV$4,60,0)</f>
        <v>Básquetbol 3x3</v>
      </c>
      <c r="AD12" s="8" t="str">
        <f>VLOOKUP($J$9,$W$3:$KV$4,59,0)</f>
        <v>Básquetbol</v>
      </c>
      <c r="AE12" s="8" t="str">
        <f>VLOOKUP($J$9,$W$3:$KV$4,79,0)</f>
        <v>Breaking</v>
      </c>
      <c r="AF12" s="8" t="str">
        <f>VLOOKUP($J$9,$W$3:$KV$4,93,0)</f>
        <v>BMX Freestyle</v>
      </c>
      <c r="AG12" s="8" t="s">
        <v>150</v>
      </c>
      <c r="AH12" s="8" t="str">
        <f>VLOOKUP($J$9,$W$3:$KV$4,66,0)</f>
        <v>M 51 Kg</v>
      </c>
      <c r="AI12" s="8" t="str">
        <f>VLOOKUP($J$9,$W$3:$KV$4,64,0)</f>
        <v>Individual</v>
      </c>
      <c r="AJ12" s="8" t="str">
        <f>VLOOKUP($J$9,$W$3:$KV$4,110,0)</f>
        <v>Velocidad</v>
      </c>
      <c r="AK12" s="8" t="str">
        <f>VLOOKUP($J$9,$W$3:$KV$4,96,0)</f>
        <v>Contrareloj</v>
      </c>
      <c r="AL12" s="8" t="str">
        <f>VLOOKUP($J$9,$W$3:$KV$4,90,0)</f>
        <v>K1</v>
      </c>
      <c r="AM12" s="8" t="str">
        <f>VLOOKUP($J$9,$W$3:$KV$4,80,0)</f>
        <v>MK1 1,000m</v>
      </c>
      <c r="AN12" s="8" t="str">
        <f>VLOOKUP($J$9,$W$3:$KV$4,98,0)</f>
        <v>Velocidad Individual</v>
      </c>
      <c r="AO12" s="8" t="str">
        <f>VLOOKUP($J$9,$W$3:$KV$4,2,0)</f>
        <v>Individual 1m Trampolín</v>
      </c>
      <c r="AP12" s="8" t="str">
        <f>VLOOKUP($J$9,$W$3:$KV$4,104,0)</f>
        <v>Adiestramiento Individual</v>
      </c>
      <c r="AQ12" s="8" t="str">
        <f>VLOOKUP($J$9,$W$3:$KV$4,123,0)</f>
        <v>Fútbol</v>
      </c>
      <c r="AR12" s="8" t="str">
        <f>VLOOKUP($J$9,$W$3:$KV$4,112,0)</f>
        <v>Espada Individual</v>
      </c>
      <c r="AS12" s="8" t="str">
        <f>VLOOKUP($J$9,$W$3:$KV$4,124,0)</f>
        <v>Equipos</v>
      </c>
      <c r="AT12" s="8" t="str">
        <f>VLOOKUP($J$9,$W$3:$KV$4,144,0)</f>
        <v>Golf</v>
      </c>
      <c r="AU12" s="8" t="str">
        <f>VLOOKUP($J$9,$W$3:$KV$4,134,0)</f>
        <v>General Individual</v>
      </c>
      <c r="AV12" s="8" t="str">
        <f>VLOOKUP($J$9,$W$3:$KV$4,142,0)</f>
        <v>Individual</v>
      </c>
      <c r="AW12" s="8" t="str">
        <f>VLOOKUP($J$9,$W$3:$KV$4,61,0)</f>
        <v>Balonmano</v>
      </c>
      <c r="AX12" s="8" t="str">
        <f>VLOOKUP($J$9,$W$3:$KV$4,145,0)</f>
        <v>Hockey Césped</v>
      </c>
      <c r="AY12" s="8" t="str">
        <f>VLOOKUP($J$9,$W$3:$KV$4,146,0)</f>
        <v>M -60 Kg</v>
      </c>
      <c r="AZ12" s="8" t="str">
        <f>VLOOKUP($J$9,$W$3:$KV$4,161,0)</f>
        <v>Kumite M -60 Kg</v>
      </c>
      <c r="BA12" s="8" t="str">
        <f>VLOOKUP($J$9,$W$3:$KV$4,211,0)</f>
        <v>Individual</v>
      </c>
      <c r="BB12" s="8" t="str">
        <f>VLOOKUP($J$9,$W$3:$KV$4,95,0)</f>
        <v>Cross-Country</v>
      </c>
      <c r="BC12" s="8" t="str">
        <f>VLOOKUP($J$9,$W$3:$KV$4,29,0)</f>
        <v>Aguas Abiertas</v>
      </c>
      <c r="BD12" s="8" t="str">
        <f>VLOOKUP($J$9,$W$3:$KV$4,207,0)</f>
        <v>Pelota goma – Dobles Trinquete</v>
      </c>
      <c r="BE12" s="8" t="str">
        <f>VLOOKUP($J$9,$W$3:$KV$4,218,0)</f>
        <v>M1x</v>
      </c>
      <c r="BF12" s="8" t="str">
        <f>VLOOKUP($J$9,$W$3:$KV$4,214,0)</f>
        <v>Individual</v>
      </c>
      <c r="BG12" s="8" t="str">
        <f>VLOOKUP($J$9,$W$3:$KV$4,231,0)</f>
        <v>Rugby 7</v>
      </c>
      <c r="BH12" s="8" t="str">
        <f>VLOOKUP($J$9,$W$3:$KV$4,275,0)</f>
        <v>Tabla A Vela (Iqfoil)</v>
      </c>
      <c r="BI12" s="8" t="str">
        <f>VLOOKUP($J$9,$W$3:$KV$4,63,0)</f>
        <v>Sóftbol</v>
      </c>
      <c r="BJ12" s="8" t="str">
        <f>VLOOKUP($J$9,$W$3:$KV$4,263,0)</f>
        <v>Rifle 50m 3 Posiciones</v>
      </c>
      <c r="BK12" s="8" t="str">
        <f>VLOOKUP($J$9,$W$3:$KV$4,205,0)</f>
        <v>Street</v>
      </c>
      <c r="BL12" s="8" t="str">
        <f>VLOOKUP($J$9,$W$3:$KV$4,232,0)</f>
        <v>Individual</v>
      </c>
      <c r="BM12" s="8" t="str">
        <f>VLOOKUP($J$9,$W$3:$KV$4,236,0)</f>
        <v>Shortboard</v>
      </c>
      <c r="BN12" s="8" t="str">
        <f>VLOOKUP($J$9,$W$3:$KV$4,201,0)</f>
        <v>200m Meta Contra Meta</v>
      </c>
      <c r="BO12" s="8" t="str">
        <f>VLOOKUP($J$9,$W$3:$KV$4,27,0)</f>
        <v>Duetos</v>
      </c>
      <c r="BP12" s="8" t="str">
        <f>VLOOKUP($J$9,$W$3:$KV$4,7,0)</f>
        <v>50m libre</v>
      </c>
      <c r="BQ12" s="8" t="str">
        <f>VLOOKUP($J$9,$W$3:$KV$4,250,0)</f>
        <v>Individual</v>
      </c>
      <c r="BR12" s="8" t="str">
        <f>VLOOKUP($J$9,$W$3:$KV$4,240,0)</f>
        <v>M Kyorugi -58 Kg</v>
      </c>
      <c r="BS12" s="8" t="str">
        <f>VLOOKUP($J$9,$W$3:$KV$4,273,0)</f>
        <v>Individual</v>
      </c>
      <c r="BT12" s="8" t="str">
        <f>VLOOKUP($J$9,$W$3:$KV$4,253,0)</f>
        <v>Individual</v>
      </c>
      <c r="BU12" s="8" t="str">
        <f>VLOOKUP($J$9,$W$3:$KV$4,286,0)</f>
        <v>Vóleibol Playa</v>
      </c>
      <c r="BV12" s="8" t="str">
        <f>VLOOKUP($J$9,$W$3:$KV$4,285,0)</f>
        <v>Vóleibol</v>
      </c>
      <c r="BW12" s="8" t="str">
        <f>VLOOKUP($J$9,$W$3:$KV$4,172,0)</f>
        <v>M 61 Kg</v>
      </c>
      <c r="BX12" s="8" t="str">
        <f>VLOOKUP($J$9,$W$3:$KV$4,28,0)</f>
        <v>Polo Acuático</v>
      </c>
      <c r="BY12" s="8" t="str">
        <f>VLOOKUP($J$9,$W$3:$KV$4,182,0)</f>
        <v>Grecoromana 60 Kg</v>
      </c>
      <c r="BZ12" s="8" t="str">
        <f>VLOOKUP($J$9,$W$3:$KV$4,118,0)</f>
        <v>Figuras</v>
      </c>
      <c r="CA12" s="8" t="str">
        <f>VLOOKUP($J$9,$W$3:$KX$4,287,0)</f>
        <v>Masculino</v>
      </c>
    </row>
    <row r="13" ht="13.5" customHeight="1">
      <c r="A13" s="8"/>
      <c r="B13" s="28">
        <v>3.0</v>
      </c>
      <c r="C13" s="34"/>
      <c r="D13" s="34"/>
      <c r="E13" s="35"/>
      <c r="F13" s="35"/>
      <c r="G13" s="35"/>
      <c r="H13" s="35"/>
      <c r="I13" s="35"/>
      <c r="J13" s="35"/>
      <c r="K13" s="5"/>
      <c r="L13" s="5"/>
      <c r="M13" s="5"/>
      <c r="N13" s="5"/>
      <c r="O13" s="5"/>
      <c r="P13" s="5"/>
      <c r="Q13" s="5"/>
      <c r="R13" s="5"/>
      <c r="S13" s="8"/>
      <c r="T13" s="8"/>
      <c r="U13" s="8"/>
      <c r="V13" s="8"/>
      <c r="W13" s="12"/>
      <c r="X13" s="8" t="str">
        <f>VLOOKUP($J$9,$W$3:$KV$4,258,0)</f>
        <v>Individual Compuesto</v>
      </c>
      <c r="Z13" s="8" t="str">
        <f>VLOOKUP($J$9,$W$3:$KV$4,31,0)</f>
        <v>200m</v>
      </c>
      <c r="AB13" s="8" t="str">
        <f>VLOOKUP($J$9,$W$3:$KV$4,57,0)</f>
        <v>Dobles</v>
      </c>
      <c r="AH13" s="8" t="str">
        <f>VLOOKUP($J$9,$W$3:$KV$4,67,0)</f>
        <v>M 57 Kg</v>
      </c>
      <c r="AI13" s="8" t="str">
        <f>VLOOKUP($J$9,$W$3:$KV$4,65,0)</f>
        <v>Dobles</v>
      </c>
      <c r="AJ13" s="8" t="str">
        <f>VLOOKUP($J$9,$W$3:$KV$4,111,0)</f>
        <v>Boulder &amp; Lead</v>
      </c>
      <c r="AK13" s="8" t="str">
        <f>VLOOKUP($J$9,$W$3:$KV$4,97,0)</f>
        <v>Gran Fondo</v>
      </c>
      <c r="AL13" s="8" t="str">
        <f>VLOOKUP($J$9,$W$3:$KV$4,91,0)</f>
        <v>C1</v>
      </c>
      <c r="AM13" s="8" t="str">
        <f>VLOOKUP($J$9,$W$3:$KV$4,81,0)</f>
        <v>MK2 500m</v>
      </c>
      <c r="AN13" s="8" t="str">
        <f>VLOOKUP($J$9,$W$3:$KV$4,99,0)</f>
        <v>Keirin</v>
      </c>
      <c r="AO13" s="8" t="str">
        <f>VLOOKUP($J$9,$W$3:$KV$4,3,0)</f>
        <v>Individual 3m Trampolín</v>
      </c>
      <c r="AP13" s="8" t="str">
        <f>VLOOKUP($J$9,$W$3:$KV$4,105,0)</f>
        <v>Adiestramiento Equipos</v>
      </c>
      <c r="AR13" s="8" t="str">
        <f>VLOOKUP($J$9,$W$3:$KV$4,113,0)</f>
        <v>Florete Individual</v>
      </c>
      <c r="AS13" s="8" t="str">
        <f>VLOOKUP($J$9,$W$3:$KV$4,125,0)</f>
        <v>Individual General</v>
      </c>
      <c r="AU13" s="8" t="str">
        <f>VLOOKUP($J$9,$W$3:$KV$4,135,0)</f>
        <v>Aro</v>
      </c>
      <c r="AV13" s="8" t="str">
        <f>VLOOKUP($J$9,$W$3:$KV$4,143,0)</f>
        <v>Sincronizados</v>
      </c>
      <c r="AY13" s="8" t="str">
        <f>VLOOKUP($J$9,$W$3:$KV$4,147,0)</f>
        <v>M -66 Kg</v>
      </c>
      <c r="AZ13" s="8" t="str">
        <f>VLOOKUP($J$9,$W$3:$KV$4,162,0)</f>
        <v>Kumite M -67 Kg</v>
      </c>
      <c r="BA13" s="8" t="str">
        <f>VLOOKUP($J$9,$W$3:$KV$4,212,0)</f>
        <v>Relevos</v>
      </c>
      <c r="BD13" s="8" t="str">
        <f>VLOOKUP($J$9,$W$3:$KV$4,208,0)</f>
        <v>Pelota goma – Individual (Frontón)</v>
      </c>
      <c r="BE13" s="8" t="str">
        <f>VLOOKUP($J$9,$W$3:$KV$4,219,0)</f>
        <v>M2x</v>
      </c>
      <c r="BF13" s="8" t="str">
        <f>VLOOKUP($J$9,$W$3:$KV$4,215,0)</f>
        <v>Dobles</v>
      </c>
      <c r="BH13" s="8" t="str">
        <f>VLOOKUP($J$9,$W$3:$KV$4,276,0)</f>
        <v>Bote (Ilca 7)</v>
      </c>
      <c r="BJ13" s="8" t="str">
        <f>VLOOKUP($J$9,$W$3:$KV$4,264,0)</f>
        <v>10m Rifle De Aire</v>
      </c>
      <c r="BK13" s="8" t="str">
        <f>VLOOKUP($J$9,$W$3:$KV$4,206,0)</f>
        <v>Park</v>
      </c>
      <c r="BL13" s="8" t="str">
        <f>VLOOKUP($J$9,$W$3:$KV$4,233,0)</f>
        <v>Equipos</v>
      </c>
      <c r="BM13" s="8" t="str">
        <f>VLOOKUP($J$9,$W$3:$KV$4,237,0)</f>
        <v>Sup Surf</v>
      </c>
      <c r="BN13" s="8" t="str">
        <f>VLOOKUP($J$9,$W$3:$KV$4,202,0)</f>
        <v>500m + Distancia</v>
      </c>
      <c r="BO13" s="8" t="str">
        <f>VLOOKUP($J$9,$W$3:$KV$4,26,0)</f>
        <v>Equipos</v>
      </c>
      <c r="BP13" s="8" t="str">
        <f>VLOOKUP($J$9,$W$3:$KV$4,8,0)</f>
        <v>100m libre</v>
      </c>
      <c r="BQ13" s="8" t="str">
        <f>VLOOKUP($J$9,$W$3:$KV$4,251,0)</f>
        <v>Dobles</v>
      </c>
      <c r="BR13" s="8" t="str">
        <f>VLOOKUP($J$9,$W$3:$KV$4,241,0)</f>
        <v>M Kyorugi -68 Kg</v>
      </c>
      <c r="BS13" s="8" t="str">
        <f>VLOOKUP($J$9,$W$3:$KV$4,274,0)</f>
        <v>Relevos Mixtos</v>
      </c>
      <c r="BT13" s="8" t="str">
        <f>VLOOKUP($J$9,$W$3:$KV$4,254,0)</f>
        <v>Equipos</v>
      </c>
      <c r="BW13" s="8" t="str">
        <f>VLOOKUP($J$9,$W$3:$KV$4,173,0)</f>
        <v>M 73 Kg</v>
      </c>
      <c r="BY13" s="8" t="str">
        <f>VLOOKUP($J$9,$W$3:$KV$4,183,0)</f>
        <v>Grecoromana 67 Kg</v>
      </c>
      <c r="BZ13" s="8" t="str">
        <f>VLOOKUP($J$9,$W$3:$KV$4,119,0)</f>
        <v>Slalom</v>
      </c>
      <c r="CA13" s="8" t="str">
        <f>VLOOKUP($J$9,$W$3:$KX$4,288,0)</f>
        <v>Femenino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33"/>
      <c r="K14" s="5"/>
      <c r="L14" s="5"/>
      <c r="M14" s="5"/>
      <c r="N14" s="5"/>
      <c r="O14" s="5"/>
      <c r="P14" s="5"/>
      <c r="Q14" s="5"/>
      <c r="R14" s="5"/>
      <c r="S14" s="8"/>
      <c r="T14" s="8"/>
      <c r="U14" s="8"/>
      <c r="V14" s="8"/>
      <c r="W14" s="12"/>
      <c r="X14" s="8" t="str">
        <f>VLOOKUP($J$9,$W$3:$KV$4,259,0)</f>
        <v>Equipo Recurvo</v>
      </c>
      <c r="Z14" s="8" t="str">
        <f>VLOOKUP($J$9,$W$3:$KV$4,32,0)</f>
        <v>400m</v>
      </c>
      <c r="AB14" s="8" t="str">
        <f>VLOOKUP($J$9,$W$3:$KV$4,58,0)</f>
        <v>Dobles Mixto</v>
      </c>
      <c r="AH14" s="8" t="str">
        <f>VLOOKUP($J$9,$W$3:$KV$4,68,0)</f>
        <v>M 63.5 Kg</v>
      </c>
      <c r="AI14" s="8"/>
      <c r="AL14" s="8" t="str">
        <f>VLOOKUP($J$9,$W$3:$KV$4,92,0)</f>
        <v>K1 Extreme</v>
      </c>
      <c r="AM14" s="8" t="str">
        <f>VLOOKUP($J$9,$W$3:$KV$4,82,0)</f>
        <v>MK4 500m</v>
      </c>
      <c r="AN14" s="8" t="str">
        <f>VLOOKUP($J$9,$W$3:$KV$4,100,0)</f>
        <v>Omnium</v>
      </c>
      <c r="AO14" s="8" t="str">
        <f>VLOOKUP($J$9,$W$3:$KV$4,4,0)</f>
        <v>Individual 10m Plataforma</v>
      </c>
      <c r="AP14" s="8" t="str">
        <f>VLOOKUP($J$9,$W$3:$KV$4,106,0)</f>
        <v>Evento Completo Individual</v>
      </c>
      <c r="AR14" s="8" t="str">
        <f>VLOOKUP($J$9,$W$3:$KV$4,114,0)</f>
        <v>Sable Individual</v>
      </c>
      <c r="AS14" s="8" t="str">
        <f>VLOOKUP($J$9,$W$3:$KV$4,126,0)</f>
        <v>Suelo</v>
      </c>
      <c r="AU14" s="8" t="str">
        <f>VLOOKUP($J$9,$W$3:$KV$4,136,0)</f>
        <v>Pelota</v>
      </c>
      <c r="AY14" s="8" t="str">
        <f>VLOOKUP($J$9,$W$3:$KV$4,148,0)</f>
        <v>M -73 Kg</v>
      </c>
      <c r="AZ14" s="8" t="str">
        <f>VLOOKUP($J$9,$W$3:$KV$4,163,0)</f>
        <v>Kumite M -75 Kg</v>
      </c>
      <c r="BA14" s="8" t="str">
        <f>VLOOKUP($J$9,$W$3:$KV$4,213,0)</f>
        <v>Relevos Mixtos</v>
      </c>
      <c r="BD14" s="8" t="str">
        <f>VLOOKUP($J$9,$W$3:$KV$4,209,0)</f>
        <v>Frontenis -Dobles (Frontón)</v>
      </c>
      <c r="BE14" s="8" t="str">
        <f>VLOOKUP($J$9,$W$3:$KV$4,220,0)</f>
        <v>M4x</v>
      </c>
      <c r="BF14" s="8" t="str">
        <f>VLOOKUP($J$9,$W$3:$KV$4,216,0)</f>
        <v>Equipos</v>
      </c>
      <c r="BH14" s="8" t="str">
        <f>VLOOKUP($J$9,$W$3:$KV$4,277,0)</f>
        <v>Bote (Ilca 6)</v>
      </c>
      <c r="BJ14" s="8" t="str">
        <f>VLOOKUP($J$9,$W$3:$KV$4,265,0)</f>
        <v>10m Pistola De Aire</v>
      </c>
      <c r="BL14" s="8" t="str">
        <f>VLOOKUP($J$9,$W$3:$KV$4,234,0)</f>
        <v>Dobles</v>
      </c>
      <c r="BM14" s="8" t="str">
        <f>VLOOKUP($J$9,$W$3:$KV$4,238,0)</f>
        <v>Sup Race</v>
      </c>
      <c r="BN14" s="8" t="str">
        <f>VLOOKUP($J$9,$W$3:$KV$4,203,0)</f>
        <v>10000m Eliminación</v>
      </c>
      <c r="BP14" s="8" t="str">
        <f>VLOOKUP($J$9,$W$3:$KV$4,9,0)</f>
        <v>200m libre</v>
      </c>
      <c r="BQ14" s="8" t="str">
        <f>VLOOKUP($J$9,$W$3:$KV$4,252,0)</f>
        <v>Dobles Mixtos</v>
      </c>
      <c r="BR14" s="8" t="str">
        <f>VLOOKUP($J$9,$W$3:$KV$4,242,0)</f>
        <v>M Kyorugi -80 Kg</v>
      </c>
      <c r="BT14" s="8" t="str">
        <f>VLOOKUP($J$9,$W$3:$KV$4,255,0)</f>
        <v>Dobles</v>
      </c>
      <c r="BW14" s="8" t="str">
        <f>VLOOKUP($J$9,$W$3:$KV$4,174,0)</f>
        <v>M 89 Kg</v>
      </c>
      <c r="BY14" s="8" t="str">
        <f>VLOOKUP($J$9,$W$3:$KV$4,184,0)</f>
        <v>Grecoromana 77 Kg</v>
      </c>
      <c r="BZ14" s="8" t="str">
        <f>VLOOKUP($J$9,$W$3:$KV$4,120,0)</f>
        <v>Salto</v>
      </c>
    </row>
    <row r="15" ht="13.5" customHeight="1">
      <c r="A15" s="8"/>
      <c r="B15" s="28">
        <v>5.0</v>
      </c>
      <c r="C15" s="34"/>
      <c r="D15" s="34"/>
      <c r="E15" s="35"/>
      <c r="F15" s="35"/>
      <c r="G15" s="35"/>
      <c r="H15" s="35"/>
      <c r="I15" s="35"/>
      <c r="J15" s="35"/>
      <c r="K15" s="5"/>
      <c r="L15" s="5"/>
      <c r="M15" s="5"/>
      <c r="N15" s="5"/>
      <c r="O15" s="5"/>
      <c r="P15" s="5"/>
      <c r="Q15" s="5"/>
      <c r="R15" s="5"/>
      <c r="S15" s="8"/>
      <c r="T15" s="8"/>
      <c r="U15" s="8"/>
      <c r="V15" s="8"/>
      <c r="W15" s="12"/>
      <c r="X15" s="8" t="str">
        <f>VLOOKUP($J$9,$W$3:$KV$4,260,0)</f>
        <v>Equipo Compuesto</v>
      </c>
      <c r="Z15" s="8" t="str">
        <f>VLOOKUP($J$9,$W$3:$KV$4,33,0)</f>
        <v>800m</v>
      </c>
      <c r="AB15" s="8"/>
      <c r="AH15" s="8" t="str">
        <f>VLOOKUP($J$9,$W$3:$KV$4,69,0)</f>
        <v>M 71 Kg</v>
      </c>
      <c r="AL15" s="8"/>
      <c r="AM15" s="8" t="str">
        <f>VLOOKUP($J$9,$W$3:$KV$4,83,0)</f>
        <v>MC1 1,000m</v>
      </c>
      <c r="AN15" s="8" t="str">
        <f>VLOOKUP($J$9,$W$3:$KV$4,101,0)</f>
        <v>Velocidad Equipos</v>
      </c>
      <c r="AO15" s="8" t="str">
        <f>VLOOKUP($J$9,$W$3:$KV$4,5,0)</f>
        <v>Sincronizados 3m Trampolín</v>
      </c>
      <c r="AP15" s="8" t="str">
        <f>VLOOKUP($J$9,$W$3:$KV$4,107,0)</f>
        <v>Evento Completo Equipos</v>
      </c>
      <c r="AR15" s="8" t="str">
        <f>VLOOKUP($J$9,$W$3:$KV$4,115,0)</f>
        <v>Espada Equipos</v>
      </c>
      <c r="AS15" s="8" t="str">
        <f>VLOOKUP($J$9,$W$3:$KV$4,127,0)</f>
        <v>Caballo Con Arzones</v>
      </c>
      <c r="AU15" s="8" t="str">
        <f>VLOOKUP($J$9,$W$3:$KV$4,137,0)</f>
        <v>Mazas</v>
      </c>
      <c r="AY15" s="8" t="str">
        <f>VLOOKUP($J$9,$W$3:$KV$4,149,0)</f>
        <v>M -81 Kg</v>
      </c>
      <c r="AZ15" s="8" t="str">
        <f>VLOOKUP($J$9,$W$3:$KV$4,164,0)</f>
        <v>Kumite M -84 Kg</v>
      </c>
      <c r="BD15" s="8" t="str">
        <f>VLOOKUP($J$9,$W$3:$KV$4,210,0)</f>
        <v>Frontball</v>
      </c>
      <c r="BE15" s="8" t="str">
        <f>VLOOKUP($J$9,$W$3:$KV$4,221,0)</f>
        <v>M2-</v>
      </c>
      <c r="BF15" s="8" t="str">
        <f>VLOOKUP($J$9,$W$3:$KV$4,217,0)</f>
        <v>Dobles Mixtos</v>
      </c>
      <c r="BH15" s="8" t="str">
        <f>VLOOKUP($J$9,$W$3:$KV$4,278,0)</f>
        <v>Bote (Sunfish)</v>
      </c>
      <c r="BJ15" s="8" t="str">
        <f>VLOOKUP($J$9,$W$3:$KV$4,266,0)</f>
        <v>25m Pistola De Fuego Rapido</v>
      </c>
      <c r="BL15" s="8" t="str">
        <f>VLOOKUP($J$9,$W$3:$KV$4,235,0)</f>
        <v>Dobles Mixtos</v>
      </c>
      <c r="BM15" s="8" t="str">
        <f>VLOOKUP($J$9,$W$3:$KV$4,239,0)</f>
        <v>Longboard</v>
      </c>
      <c r="BN15" s="8" t="str">
        <f>VLOOKUP($J$9,$W$3:$KV$4,204,0)</f>
        <v>1000m Sprint</v>
      </c>
      <c r="BP15" s="8" t="str">
        <f>VLOOKUP($J$9,$W$3:$KV$4,10,0)</f>
        <v>400m libre</v>
      </c>
      <c r="BR15" s="8" t="str">
        <f>VLOOKUP($J$9,$W$3:$KV$4,243,0)</f>
        <v>M Kyorugi +80 Kg</v>
      </c>
      <c r="BT15" s="8" t="str">
        <f>VLOOKUP($J$9,$W$3:$KV$4,256,0)</f>
        <v>Dobles Mixtos</v>
      </c>
      <c r="BW15" s="8" t="str">
        <f>VLOOKUP($J$9,$W$3:$KV$4,175,0)</f>
        <v>M 102 Kg</v>
      </c>
      <c r="BY15" s="8" t="str">
        <f>VLOOKUP($J$9,$W$3:$KV$4,185,0)</f>
        <v>Grecoromana 87 Kg</v>
      </c>
      <c r="BZ15" s="8" t="str">
        <f>VLOOKUP($J$9,$W$3:$KV$4,121,0)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33"/>
      <c r="K16" s="5"/>
      <c r="L16" s="5"/>
      <c r="M16" s="5"/>
      <c r="N16" s="5"/>
      <c r="O16" s="5"/>
      <c r="P16" s="5"/>
      <c r="Q16" s="5"/>
      <c r="R16" s="5"/>
      <c r="S16" s="8"/>
      <c r="T16" s="8"/>
      <c r="U16" s="8"/>
      <c r="V16" s="8"/>
      <c r="W16" s="12"/>
      <c r="X16" s="8" t="str">
        <f>VLOOKUP($J$9,$W$3:$KV$4,261,0)</f>
        <v>Equipo Recurvo Mixto</v>
      </c>
      <c r="Z16" s="8" t="str">
        <f>VLOOKUP($J$9,$W$3:$KV$4,34,0)</f>
        <v>1500m</v>
      </c>
      <c r="AH16" s="8" t="str">
        <f>VLOOKUP($J$9,$W$3:$KV$4,70,0)</f>
        <v>M 80 Kg</v>
      </c>
      <c r="AL16" s="8"/>
      <c r="AM16" s="8" t="str">
        <f>VLOOKUP($J$9,$W$3:$KV$4,84,0)</f>
        <v>MC2 500m</v>
      </c>
      <c r="AN16" s="8" t="str">
        <f>VLOOKUP($J$9,$W$3:$KV$4,102,0)</f>
        <v>Persecución Equipos</v>
      </c>
      <c r="AO16" s="8" t="str">
        <f>VLOOKUP($J$9,$W$3:$KV$4,6,0)</f>
        <v>Sincronizados 10m Plataforma</v>
      </c>
      <c r="AP16" s="8" t="str">
        <f>VLOOKUP($J$9,$W$3:$KV$4,108,0)</f>
        <v>Salto Individual</v>
      </c>
      <c r="AR16" s="8" t="str">
        <f>VLOOKUP($J$9,$W$3:$KV$4,116,0)</f>
        <v>Florete Equipos</v>
      </c>
      <c r="AS16" s="8" t="str">
        <f>VLOOKUP($J$9,$W$3:$KV$4,128,0)</f>
        <v>Anillas</v>
      </c>
      <c r="AU16" s="8" t="str">
        <f>VLOOKUP($J$9,$W$3:$KV$4,138,0)</f>
        <v>Cinta</v>
      </c>
      <c r="AY16" s="8" t="str">
        <f>VLOOKUP($J$9,$W$3:$KV$4,150,0)</f>
        <v>M -90 Kg</v>
      </c>
      <c r="AZ16" s="8" t="str">
        <f>VLOOKUP($J$9,$W$3:$KV$4,165,0)</f>
        <v>Kumite M +84 Kg</v>
      </c>
      <c r="BE16" s="8" t="str">
        <f>VLOOKUP($J$9,$W$3:$KV$4,222,0)</f>
        <v>M4-</v>
      </c>
      <c r="BF16" s="8"/>
      <c r="BH16" s="8" t="str">
        <f>VLOOKUP($J$9,$W$3:$KV$4,279,0)</f>
        <v>Skiff (49Er)</v>
      </c>
      <c r="BJ16" s="8" t="str">
        <f>VLOOKUP($J$9,$W$3:$KV$4,267,0)</f>
        <v>25m Pistola Deportiva</v>
      </c>
      <c r="BM16" s="8"/>
      <c r="BP16" s="8" t="str">
        <f>VLOOKUP($J$9,$W$3:$KV$4,11,0)</f>
        <v>800m libre</v>
      </c>
      <c r="BR16" s="8" t="str">
        <f>VLOOKUP($J$9,$W$3:$KV$4,244,0)</f>
        <v>F Kyorugi -49 Kg</v>
      </c>
      <c r="BW16" s="8" t="str">
        <f>VLOOKUP($J$9,$W$3:$KV$4,176,0)</f>
        <v>M +102 Kg</v>
      </c>
      <c r="BY16" s="8" t="str">
        <f>VLOOKUP($J$9,$W$3:$KV$4,186,0)</f>
        <v>Grecoromana 97 Kg</v>
      </c>
      <c r="BZ16" s="8" t="str">
        <f>VLOOKUP($J$9,$W$3:$KV$4,122,0)</f>
        <v>Wakeboard</v>
      </c>
    </row>
    <row r="17" ht="13.5" customHeight="1">
      <c r="A17" s="8"/>
      <c r="B17" s="28">
        <v>7.0</v>
      </c>
      <c r="C17" s="34"/>
      <c r="D17" s="34"/>
      <c r="E17" s="35"/>
      <c r="F17" s="35"/>
      <c r="G17" s="35"/>
      <c r="H17" s="35"/>
      <c r="I17" s="35"/>
      <c r="J17" s="35"/>
      <c r="K17" s="5"/>
      <c r="L17" s="5"/>
      <c r="M17" s="5"/>
      <c r="N17" s="5"/>
      <c r="O17" s="5"/>
      <c r="P17" s="5"/>
      <c r="Q17" s="5"/>
      <c r="R17" s="5"/>
      <c r="S17" s="8"/>
      <c r="T17" s="8"/>
      <c r="U17" s="8"/>
      <c r="V17" s="8"/>
      <c r="W17" s="12"/>
      <c r="X17" s="8" t="str">
        <f>VLOOKUP($J$9,$W$3:$KV$4,262,0)</f>
        <v>Equipo Compuesto Mixto</v>
      </c>
      <c r="Z17" s="8" t="str">
        <f>VLOOKUP($J$9,$W$3:$KV$4,3,0)</f>
        <v>Individual 3m Trampolín</v>
      </c>
      <c r="AH17" s="8" t="str">
        <f>VLOOKUP($J$9,$W$3:$KV$4,71,0)</f>
        <v>M 92 Kg</v>
      </c>
      <c r="AM17" s="8" t="str">
        <f>VLOOKUP($J$9,$W$3:$KV$4,85,0)</f>
        <v>WK1 500m</v>
      </c>
      <c r="AN17" s="8" t="str">
        <f>VLOOKUP($J$9,$W$3:$KV$4,103,0)</f>
        <v>Madison</v>
      </c>
      <c r="AP17" s="8" t="str">
        <f>VLOOKUP($J$9,$W$3:$KV$4,109,0)</f>
        <v>Salto Equipos</v>
      </c>
      <c r="AR17" s="8" t="str">
        <f>VLOOKUP($J$9,$W$3:$KV$4,117,0)</f>
        <v>Sable Equipos</v>
      </c>
      <c r="AS17" s="8" t="str">
        <f>VLOOKUP($J$9,$W$3:$KV$4,129,0)</f>
        <v>Salto</v>
      </c>
      <c r="AU17" s="8" t="str">
        <f>VLOOKUP($J$9,$W$3:$KV$4,139,0)</f>
        <v>General De Conjuntos</v>
      </c>
      <c r="AY17" s="8" t="str">
        <f>VLOOKUP($J$9,$W$3:$KV$4,151,0)</f>
        <v>M -100 Kg</v>
      </c>
      <c r="AZ17" s="8" t="str">
        <f>VLOOKUP($J$9,$W$3:$KV$4,166,0)</f>
        <v>Kumite F -50 Kg</v>
      </c>
      <c r="BE17" s="8" t="str">
        <f>VLOOKUP($J$9,$W$3:$KV$4,223,0)</f>
        <v>LM2x</v>
      </c>
      <c r="BH17" s="8" t="str">
        <f>VLOOKUP($J$9,$W$3:$KV$4,280,0)</f>
        <v>Skiff (49Er Fx)</v>
      </c>
      <c r="BJ17" s="8" t="str">
        <f>VLOOKUP($J$9,$W$3:$KV$4,268,0)</f>
        <v>Skeet</v>
      </c>
      <c r="BP17" s="8" t="str">
        <f>VLOOKUP($J$9,$W$3:$KV$4,12,0)</f>
        <v>1.500m libre</v>
      </c>
      <c r="BR17" s="8" t="str">
        <f>VLOOKUP($J$9,$W$3:$KV$4,245,0)</f>
        <v>F Kyorugi -57 Kg</v>
      </c>
      <c r="BW17" s="8" t="str">
        <f>VLOOKUP($J$9,$W$3:$KV$4,177,0)</f>
        <v>F 49 Kg</v>
      </c>
      <c r="BY17" s="8" t="str">
        <f>VLOOKUP($J$9,$W$3:$KV$4,187,0)</f>
        <v>Grecoromana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33"/>
      <c r="K18" s="5"/>
      <c r="L18" s="5"/>
      <c r="M18" s="5"/>
      <c r="N18" s="5"/>
      <c r="O18" s="5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VLOOKUP($J$9,$W$3:$KV$4,35,0)</f>
        <v>5000m</v>
      </c>
      <c r="AH18" s="8" t="str">
        <f>VLOOKUP($J$9,$W$3:$KV$4,72,0)</f>
        <v>M +92 Kg</v>
      </c>
      <c r="AM18" s="8" t="str">
        <f>VLOOKUP($J$9,$W$3:$KV$4,86,0)</f>
        <v>WK2 500m</v>
      </c>
      <c r="AS18" s="8" t="str">
        <f>VLOOKUP($J$9,$W$3:$KV$4,130,0)</f>
        <v>Barras Paralelas</v>
      </c>
      <c r="AU18" s="8" t="str">
        <f>VLOOKUP($J$9,$W$3:$KV$4,140,0)</f>
        <v>5 Aros</v>
      </c>
      <c r="AY18" s="8" t="str">
        <f>VLOOKUP($J$9,$W$3:$KV$4,152,0)</f>
        <v>M +100 Kg</v>
      </c>
      <c r="AZ18" s="8" t="str">
        <f>VLOOKUP($J$9,$W$3:$KV$4,167,0)</f>
        <v>Kumite F -55 Kg</v>
      </c>
      <c r="BE18" s="8" t="str">
        <f>VLOOKUP($J$9,$W$3:$KV$4,224,0)</f>
        <v>W1x</v>
      </c>
      <c r="BH18" s="8" t="str">
        <f>VLOOKUP($J$9,$W$3:$KV$4,281,0)</f>
        <v>Kite (Fomula Kite)</v>
      </c>
      <c r="BJ18" s="8" t="str">
        <f>VLOOKUP($J$9,$W$3:$KV$4,269,0)</f>
        <v>Trap</v>
      </c>
      <c r="BP18" s="8" t="str">
        <f>VLOOKUP($J$9,$W$3:$KV$4,13,0)</f>
        <v>100m espalda</v>
      </c>
      <c r="BR18" s="8" t="str">
        <f>VLOOKUP($J$9,$W$3:$KV$4,246,0)</f>
        <v>F Kyorugi -67 Kg</v>
      </c>
      <c r="BW18" s="8" t="str">
        <f>VLOOKUP($J$9,$W$3:$KV$4,178,0)</f>
        <v>F 59 Kg</v>
      </c>
      <c r="BY18" s="8" t="str">
        <f>VLOOKUP($J$9,$W$3:$KV$4,188,0)</f>
        <v>Libre M 57 Kg</v>
      </c>
    </row>
    <row r="19" ht="13.5" customHeight="1">
      <c r="A19" s="8"/>
      <c r="B19" s="28">
        <v>9.0</v>
      </c>
      <c r="C19" s="34"/>
      <c r="D19" s="34"/>
      <c r="E19" s="35"/>
      <c r="F19" s="35"/>
      <c r="G19" s="35"/>
      <c r="H19" s="35"/>
      <c r="I19" s="35"/>
      <c r="J19" s="35"/>
      <c r="K19" s="5"/>
      <c r="L19" s="5"/>
      <c r="M19" s="5"/>
      <c r="N19" s="5"/>
      <c r="O19" s="5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VLOOKUP($J$9,$W$3:$KV$4,36,0)</f>
        <v>10000m</v>
      </c>
      <c r="AH19" s="8" t="str">
        <f>VLOOKUP($J$9,$W$3:$KV$4,73,0)</f>
        <v>F 50 Kg</v>
      </c>
      <c r="AM19" s="8" t="str">
        <f>VLOOKUP($J$9,$W$3:$KV$4,87,0)</f>
        <v>WK4 500M</v>
      </c>
      <c r="AS19" s="8" t="str">
        <f>VLOOKUP($J$9,$W$3:$KV$4,131,0)</f>
        <v>Barra Fija</v>
      </c>
      <c r="AU19" s="8" t="str">
        <f>VLOOKUP($J$9,$W$3:$KV$4,141,0)</f>
        <v>3 Cintas/2 Pelotas</v>
      </c>
      <c r="AY19" s="8" t="str">
        <f>VLOOKUP($J$9,$W$3:$KV$4,153,0)</f>
        <v>F -48 Kg</v>
      </c>
      <c r="AZ19" s="8" t="str">
        <f>VLOOKUP($J$9,$W$3:$KV$4,168,0)</f>
        <v>Kumite F -61 Kg</v>
      </c>
      <c r="BE19" s="8" t="str">
        <f>VLOOKUP($J$9,$W$3:$KV$4,225,0)</f>
        <v>W2x</v>
      </c>
      <c r="BH19" s="8" t="str">
        <f>VLOOKUP($J$9,$W$3:$KV$4,282,0)</f>
        <v>Mixto Catamarán (Nacra 17)</v>
      </c>
      <c r="BJ19" s="8" t="str">
        <f>VLOOKUP($J$9,$W$3:$KV$4,270,0)</f>
        <v>Mixto 10m Rifle De Aire</v>
      </c>
      <c r="BP19" s="8" t="str">
        <f>VLOOKUP($J$9,$W$3:$KV$4,14,0)</f>
        <v>200m espalda</v>
      </c>
      <c r="BR19" s="8" t="str">
        <f>VLOOKUP($J$9,$W$3:$KV$4,247,0)</f>
        <v>F Kyorugi +67 Kg</v>
      </c>
      <c r="BW19" s="8" t="str">
        <f>VLOOKUP($J$9,$W$3:$KV$4,179,0)</f>
        <v>F 71 Kg</v>
      </c>
      <c r="BY19" s="8" t="str">
        <f>VLOOKUP($J$9,$W$3:$KV$4,189,0)</f>
        <v>Libre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33"/>
      <c r="K20" s="5"/>
      <c r="L20" s="5"/>
      <c r="M20" s="5"/>
      <c r="N20" s="5"/>
      <c r="O20" s="5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VLOOKUP($J$9,$W$3:$KV$4,37,0)</f>
        <v>110 / 100 vallas</v>
      </c>
      <c r="AH20" s="8" t="str">
        <f>VLOOKUP($J$9,$W$3:$KV$4,74,0)</f>
        <v>F 54 Kg</v>
      </c>
      <c r="AM20" s="8" t="str">
        <f>VLOOKUP($J$9,$W$3:$KV$4,88,0)</f>
        <v>WC1 200m</v>
      </c>
      <c r="AS20" s="8" t="str">
        <f>VLOOKUP($J$9,$W$3:$KV$4,132,0)</f>
        <v>Barras Asimétricas</v>
      </c>
      <c r="AY20" s="8" t="str">
        <f>VLOOKUP($J$9,$W$3:$KV$4,154,0)</f>
        <v>F -52 Kg</v>
      </c>
      <c r="AZ20" s="8" t="str">
        <f>VLOOKUP($J$9,$W$3:$KV$4,169,0)</f>
        <v>Kumite F -68 Kg </v>
      </c>
      <c r="BE20" s="8" t="str">
        <f>VLOOKUP($J$9,$W$3:$KV$4,226,0)</f>
        <v>W4x</v>
      </c>
      <c r="BH20" s="8" t="str">
        <f>VLOOKUP($J$9,$W$3:$KV$4,283,0)</f>
        <v>Mixto Bote (Snipe)</v>
      </c>
      <c r="BJ20" s="8" t="str">
        <f>VLOOKUP($J$9,$W$3:$KV$4,271,0)</f>
        <v>Mixto 10m Pistola De Aire</v>
      </c>
      <c r="BP20" s="8" t="str">
        <f>VLOOKUP($J$9,$W$3:$KV$4,15,0)</f>
        <v>100m pecho</v>
      </c>
      <c r="BR20" s="8" t="str">
        <f>VLOOKUP($J$9,$W$3:$KV$4,248,0)</f>
        <v>Poomsae Tradicional Individual</v>
      </c>
      <c r="BW20" s="8" t="str">
        <f>VLOOKUP($J$9,$W$3:$KV$4,180,0)</f>
        <v>F 81 Kg</v>
      </c>
      <c r="BY20" s="8" t="str">
        <f>VLOOKUP($J$9,$W$3:$KV$4,190,0)</f>
        <v>Libre M 74 Kg</v>
      </c>
    </row>
    <row r="21" ht="17.25" customHeight="1">
      <c r="A21" s="21"/>
      <c r="B21" s="28">
        <v>11.0</v>
      </c>
      <c r="C21" s="29"/>
      <c r="D21" s="29"/>
      <c r="E21" s="30"/>
      <c r="F21" s="30"/>
      <c r="G21" s="30"/>
      <c r="H21" s="30"/>
      <c r="I21" s="30"/>
      <c r="J21" s="30"/>
      <c r="K21" s="5"/>
      <c r="L21" s="5"/>
      <c r="M21" s="5"/>
      <c r="N21" s="5"/>
      <c r="O21" s="5"/>
      <c r="P21" s="5"/>
      <c r="Q21" s="5"/>
      <c r="R21" s="5"/>
      <c r="S21" s="21"/>
      <c r="T21" s="21"/>
      <c r="U21" s="21"/>
      <c r="V21" s="21"/>
      <c r="W21" s="12"/>
      <c r="X21" s="8"/>
      <c r="Z21" s="8" t="str">
        <f>VLOOKUP($J$9,$W$3:$KV$4,38,0)</f>
        <v>400 Vallas</v>
      </c>
      <c r="AH21" s="8" t="str">
        <f>VLOOKUP($J$9,$W$3:$KV$4,75,0)</f>
        <v>F 57 Kg</v>
      </c>
      <c r="AM21" s="8" t="str">
        <f>VLOOKUP($J$9,$W$3:$KV$4,89,0)</f>
        <v>WC2 500m</v>
      </c>
      <c r="AS21" s="8" t="str">
        <f>VLOOKUP($J$9,$W$3:$KV$4,133,0)</f>
        <v>Viga De Equilibrio</v>
      </c>
      <c r="AY21" s="8" t="str">
        <f>VLOOKUP($J$9,$W$3:$KV$4,155,0)</f>
        <v>F -57 Kg</v>
      </c>
      <c r="AZ21" s="8" t="str">
        <f>VLOOKUP($J$9,$W$3:$KV$4,170,0)</f>
        <v>Kumite F +68 Kg</v>
      </c>
      <c r="BE21" s="8" t="str">
        <f>VLOOKUP($J$9,$W$3:$KV$4,227,0)</f>
        <v>W2-</v>
      </c>
      <c r="BH21" s="8" t="str">
        <f>VLOOKUP($J$9,$W$3:$KV$4,284,0)</f>
        <v>Mixto Bote (Lightning)</v>
      </c>
      <c r="BJ21" s="8" t="str">
        <f>VLOOKUP($J$9,$W$3:$KV$4,272,0)</f>
        <v>Mixto Skeet</v>
      </c>
      <c r="BP21" s="8" t="str">
        <f>VLOOKUP($J$9,$W$3:$KV$4,16,0)</f>
        <v>200m pecho</v>
      </c>
      <c r="BR21" s="8" t="str">
        <f>VLOOKUP($J$9,$W$3:$KV$4,249,0)</f>
        <v>Poomsae Parejas Libres</v>
      </c>
      <c r="BW21" s="8" t="str">
        <f>VLOOKUP($J$9,$W$3:$KV$4,181,0)</f>
        <v>F +81 Kg</v>
      </c>
      <c r="BY21" s="8" t="str">
        <f>VLOOKUP($J$9,$W$3:$KV$4,191,0)</f>
        <v>Libre M 86 Kg</v>
      </c>
    </row>
    <row r="22" ht="16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33"/>
      <c r="K22" s="5"/>
      <c r="L22" s="5"/>
      <c r="M22" s="5"/>
      <c r="N22" s="5"/>
      <c r="O22" s="5"/>
      <c r="P22" s="5"/>
      <c r="Q22" s="5"/>
      <c r="R22" s="5"/>
      <c r="S22" s="21"/>
      <c r="T22" s="21"/>
      <c r="U22" s="21"/>
      <c r="V22" s="21"/>
      <c r="W22" s="12"/>
      <c r="X22" s="8"/>
      <c r="Z22" s="8" t="str">
        <f>VLOOKUP($J$9,$W$3:$KV$4,39,0)</f>
        <v>3000 con obstáculos</v>
      </c>
      <c r="AH22" s="8" t="str">
        <f>VLOOKUP($J$9,$W$3:$KV$4,76,0)</f>
        <v>F 60 Kg</v>
      </c>
      <c r="AY22" s="8" t="str">
        <f>VLOOKUP($J$9,$W$3:$KV$4,156,0)</f>
        <v>F -63 Kg</v>
      </c>
      <c r="AZ22" s="8" t="str">
        <f>VLOOKUP($J$9,$W$3:$KV$4,171,0)</f>
        <v>Kata</v>
      </c>
      <c r="BE22" s="8" t="str">
        <f>VLOOKUP($J$9,$W$3:$KV$4,228,0)</f>
        <v>W4-</v>
      </c>
      <c r="BH22" s="8"/>
      <c r="BP22" s="8" t="str">
        <f>VLOOKUP($J$9,$W$3:$KV$4,17,0)</f>
        <v>100m mariposa</v>
      </c>
      <c r="BY22" s="8" t="str">
        <f>VLOOKUP($J$9,$W$3:$KV$4,192,0)</f>
        <v>Libre M 97 Kg</v>
      </c>
    </row>
    <row r="23" ht="16.5" customHeight="1">
      <c r="A23" s="21"/>
      <c r="B23" s="28">
        <v>13.0</v>
      </c>
      <c r="C23" s="34"/>
      <c r="D23" s="34"/>
      <c r="E23" s="35"/>
      <c r="F23" s="35"/>
      <c r="G23" s="35"/>
      <c r="H23" s="35"/>
      <c r="I23" s="35"/>
      <c r="J23" s="35"/>
      <c r="K23" s="5"/>
      <c r="L23" s="5"/>
      <c r="M23" s="5"/>
      <c r="N23" s="5"/>
      <c r="O23" s="5"/>
      <c r="P23" s="5"/>
      <c r="Q23" s="5"/>
      <c r="R23" s="5"/>
      <c r="S23" s="21"/>
      <c r="T23" s="21"/>
      <c r="U23" s="21"/>
      <c r="V23" s="21"/>
      <c r="W23" s="12"/>
      <c r="X23" s="8"/>
      <c r="Z23" s="8" t="str">
        <f>VLOOKUP($J$9,$W$3:$KV$4,40,0)</f>
        <v>4x100m</v>
      </c>
      <c r="AH23" s="8" t="str">
        <f>VLOOKUP($J$9,$W$3:$KV$4,77,0)</f>
        <v>F 66 Kg</v>
      </c>
      <c r="AY23" s="8" t="str">
        <f>VLOOKUP($J$9,$W$3:$KV$4,157,0)</f>
        <v>F -70 Kg</v>
      </c>
      <c r="BE23" s="8" t="str">
        <f>VLOOKUP($J$9,$W$3:$KV$4,229,0)</f>
        <v>LW2x</v>
      </c>
      <c r="BH23" s="8"/>
      <c r="BP23" s="8" t="str">
        <f t="shared" ref="BP23:BP24" si="1">VLOOKUP($J$9,$W$3:$KV$4,18,0)</f>
        <v>200m mariposa</v>
      </c>
      <c r="BY23" s="8" t="str">
        <f>VLOOKUP($J$9,$W$3:$KV$4,193,0)</f>
        <v>Libre M 125 Kg</v>
      </c>
    </row>
    <row r="24" ht="16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33"/>
      <c r="K24" s="5"/>
      <c r="L24" s="5"/>
      <c r="M24" s="5"/>
      <c r="N24" s="5"/>
      <c r="O24" s="5"/>
      <c r="P24" s="5"/>
      <c r="Q24" s="5"/>
      <c r="R24" s="5"/>
      <c r="S24" s="21"/>
      <c r="T24" s="21"/>
      <c r="U24" s="21"/>
      <c r="V24" s="21"/>
      <c r="W24" s="12"/>
      <c r="X24" s="21"/>
      <c r="Z24" s="8" t="str">
        <f>VLOOKUP($J$9,$W$3:$KV$4,41,0)</f>
        <v>4x400m</v>
      </c>
      <c r="AH24" s="8" t="str">
        <f>VLOOKUP($J$9,$W$3:$KV$4,78,0)</f>
        <v>F 75 Kg</v>
      </c>
      <c r="AY24" s="8" t="str">
        <f>VLOOKUP($J$9,$W$3:$KV$4,158,0)</f>
        <v>F -78 Kg</v>
      </c>
      <c r="BE24" s="8" t="str">
        <f>VLOOKUP($J$9,$W$3:$KV$4,230,0)</f>
        <v>Mixto 8+</v>
      </c>
      <c r="BP24" s="8" t="str">
        <f t="shared" si="1"/>
        <v>200m mariposa</v>
      </c>
      <c r="BY24" s="8" t="str">
        <f>VLOOKUP($J$9,$W$3:$KV$4,194,0)</f>
        <v>Libre F 50 Kg</v>
      </c>
    </row>
    <row r="25" ht="13.5" customHeight="1">
      <c r="A25" s="1"/>
      <c r="B25" s="28">
        <v>15.0</v>
      </c>
      <c r="C25" s="34"/>
      <c r="D25" s="34"/>
      <c r="E25" s="35"/>
      <c r="F25" s="35"/>
      <c r="G25" s="35"/>
      <c r="H25" s="35"/>
      <c r="I25" s="35"/>
      <c r="J25" s="3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2"/>
      <c r="X25" s="21"/>
      <c r="Z25" s="8" t="str">
        <f>VLOOKUP($J$9,$W$3:$KV$4,42,0)</f>
        <v>Salto de Altura</v>
      </c>
      <c r="AY25" s="8" t="str">
        <f>VLOOKUP($J$9,$W$3:$KV$4,159,0)</f>
        <v>F +78 Kg</v>
      </c>
      <c r="BP25" s="8" t="str">
        <f>VLOOKUP($J$9,$W$3:$KV$4,19,0)</f>
        <v>200m combinado individual</v>
      </c>
      <c r="BY25" s="8" t="str">
        <f>VLOOKUP($J$9,$W$3:$KV$4,195,0)</f>
        <v>Libre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33"/>
      <c r="K26" s="5"/>
      <c r="L26" s="5"/>
      <c r="M26" s="5"/>
      <c r="N26" s="5"/>
      <c r="O26" s="5"/>
      <c r="P26" s="5"/>
      <c r="Q26" s="5"/>
      <c r="R26" s="5"/>
      <c r="S26" s="1"/>
      <c r="T26" s="1"/>
      <c r="U26" s="1"/>
      <c r="V26" s="1"/>
      <c r="W26" s="12"/>
      <c r="X26" s="21"/>
      <c r="Z26" s="8" t="str">
        <f>VLOOKUP($J$9,$W$3:$KV$4,43,0)</f>
        <v>Salto de Longitud</v>
      </c>
      <c r="AY26" s="8" t="str">
        <f>VLOOKUP($J$9,$W$3:$KV$4,160,0)</f>
        <v>Equipo  mixto</v>
      </c>
      <c r="BP26" s="8" t="str">
        <f>VLOOKUP($J$9,$W$3:$KV$4,20,0)</f>
        <v>400m combinado individual</v>
      </c>
      <c r="BY26" s="8" t="str">
        <f>VLOOKUP($J$9,$W$3:$KV$4,196,0)</f>
        <v>Libre F 57 Kg</v>
      </c>
    </row>
    <row r="27" ht="13.5" customHeight="1">
      <c r="A27" s="1"/>
      <c r="B27" s="28">
        <v>17.0</v>
      </c>
      <c r="C27" s="29"/>
      <c r="D27" s="29"/>
      <c r="E27" s="30"/>
      <c r="F27" s="30"/>
      <c r="G27" s="30"/>
      <c r="H27" s="30"/>
      <c r="I27" s="30"/>
      <c r="J27" s="30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2"/>
      <c r="X27" s="21"/>
      <c r="Z27" s="8" t="str">
        <f>VLOOKUP($J$9,$W$3:$KV$4,44,0)</f>
        <v>Salto Triple</v>
      </c>
      <c r="BP27" s="8" t="str">
        <f>VLOOKUP($J$9,$W$3:$KV$4,21,0)</f>
        <v>4 x 100m posta libre</v>
      </c>
      <c r="BY27" s="8" t="str">
        <f>VLOOKUP($J$9,$W$3:$KV$4,197,0)</f>
        <v>Libre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33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2"/>
      <c r="X28" s="21"/>
      <c r="Z28" s="8" t="str">
        <f>VLOOKUP($J$9,$W$3:$KV$4,45,0)</f>
        <v>Salto con Pérdiga</v>
      </c>
      <c r="BP28" s="8" t="str">
        <f>VLOOKUP($J$9,$W$3:$KV$4,22,0)</f>
        <v>4 x 200m posta libre</v>
      </c>
      <c r="BY28" s="8" t="str">
        <f>VLOOKUP($J$9,$W$3:$KV$4,198,0)</f>
        <v>Libre F 68 Kg</v>
      </c>
    </row>
    <row r="29" ht="13.5" customHeight="1">
      <c r="A29" s="1"/>
      <c r="B29" s="28">
        <v>19.0</v>
      </c>
      <c r="C29" s="34"/>
      <c r="D29" s="34"/>
      <c r="E29" s="35"/>
      <c r="F29" s="35"/>
      <c r="G29" s="35"/>
      <c r="H29" s="35"/>
      <c r="I29" s="35"/>
      <c r="J29" s="35"/>
      <c r="K29" s="5"/>
      <c r="L29" s="5"/>
      <c r="M29" s="5"/>
      <c r="N29" s="5"/>
      <c r="O29" s="5"/>
      <c r="P29" s="5"/>
      <c r="Q29" s="5"/>
      <c r="R29" s="5"/>
      <c r="S29" s="1"/>
      <c r="T29" s="1"/>
      <c r="U29" s="1"/>
      <c r="V29" s="1"/>
      <c r="W29" s="12"/>
      <c r="X29" s="21"/>
      <c r="Z29" s="8" t="str">
        <f>VLOOKUP($J$9,$W$3:$KV$4,46,0)</f>
        <v>Lanzamiento de Bala</v>
      </c>
      <c r="BP29" s="8" t="str">
        <f>VLOOKUP($J$9,$W$3:$KV$4,23,0)</f>
        <v>4 x 100m posta combinada</v>
      </c>
      <c r="BY29" s="8" t="str">
        <f>VLOOKUP($J$9,$W$3:$KV$4,199,0)</f>
        <v>Libre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33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2"/>
      <c r="X30" s="21"/>
      <c r="Z30" s="8" t="str">
        <f>VLOOKUP($J$9,$W$3:$KV$4,47,0)</f>
        <v>Lanzamiento de Disco</v>
      </c>
      <c r="BP30" s="8" t="str">
        <f>VLOOKUP($J$9,$W$3:$KV$4,24,0)</f>
        <v>Mixto 4 x 100m posta libre</v>
      </c>
    </row>
    <row r="31" ht="13.5" customHeight="1">
      <c r="A31" s="1"/>
      <c r="B31" s="28">
        <v>21.0</v>
      </c>
      <c r="C31" s="34"/>
      <c r="D31" s="34"/>
      <c r="E31" s="35"/>
      <c r="F31" s="35"/>
      <c r="G31" s="35"/>
      <c r="H31" s="35"/>
      <c r="I31" s="35"/>
      <c r="J31" s="3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2"/>
      <c r="X31" s="21"/>
      <c r="Z31" s="8" t="str">
        <f>VLOOKUP($J$9,$W$3:$KV$4,48,0)</f>
        <v>Lanzamiento de Jabalina</v>
      </c>
      <c r="BP31" s="8" t="str">
        <f>VLOOKUP($J$9,$W$3:$KV$4,25,0)</f>
        <v>Mixto 4 x 100m posta combinada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33"/>
      <c r="K32" s="5"/>
      <c r="L32" s="5"/>
      <c r="M32" s="5"/>
      <c r="N32" s="5"/>
      <c r="O32" s="5"/>
      <c r="P32" s="5"/>
      <c r="Q32" s="5"/>
      <c r="R32" s="5"/>
      <c r="S32" s="1"/>
      <c r="T32" s="1"/>
      <c r="U32" s="1"/>
      <c r="V32" s="1"/>
      <c r="W32" s="12"/>
      <c r="X32" s="21"/>
      <c r="Z32" s="8" t="str">
        <f>VLOOKUP($J$9,$W$3:$KV$4,49,0)</f>
        <v>Lanzamiento de Martillo</v>
      </c>
    </row>
    <row r="33" ht="13.5" customHeight="1">
      <c r="A33" s="1"/>
      <c r="B33" s="28">
        <v>23.0</v>
      </c>
      <c r="C33" s="29"/>
      <c r="D33" s="29"/>
      <c r="E33" s="30"/>
      <c r="F33" s="30"/>
      <c r="G33" s="30"/>
      <c r="H33" s="30"/>
      <c r="I33" s="30"/>
      <c r="J33" s="30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2"/>
      <c r="X33" s="21"/>
      <c r="Z33" s="8" t="str">
        <f>VLOOKUP($J$9,$W$3:$KV$4,50,0)</f>
        <v>20 km marcha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33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2"/>
      <c r="X34" s="21"/>
      <c r="Z34" s="8" t="str">
        <f>VLOOKUP($J$9,$W$3:$KV$4,51,0)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5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VLOOKUP($J$9,$W$3:$KV$4,52,0)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VLOOKUP($J$9,$W$3:$KV$4,53,0)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VLOOKUP($J$9,$W$3:$KV$4,54,0)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VLOOKUP($J$9,$W$3:$KV$4,55,0)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4"/>
      <c r="K40" s="1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2"/>
      <c r="X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4"/>
      <c r="K41" s="1"/>
      <c r="L41" s="5"/>
      <c r="M41" s="5"/>
      <c r="N41" s="5"/>
      <c r="O41" s="5"/>
      <c r="P41" s="5"/>
      <c r="Q41" s="5"/>
      <c r="R41" s="5"/>
      <c r="S41" s="1"/>
      <c r="T41" s="1"/>
      <c r="U41" s="1"/>
      <c r="V41" s="1"/>
      <c r="W41" s="12"/>
      <c r="X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4"/>
      <c r="K42" s="1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2"/>
      <c r="X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4"/>
      <c r="K43" s="1"/>
      <c r="L43" s="5"/>
      <c r="M43" s="5"/>
      <c r="N43" s="5"/>
      <c r="O43" s="5"/>
      <c r="P43" s="5"/>
      <c r="Q43" s="5"/>
      <c r="R43" s="5"/>
      <c r="S43" s="1"/>
      <c r="T43" s="1"/>
      <c r="U43" s="1"/>
      <c r="V43" s="1"/>
      <c r="W43" s="12"/>
      <c r="X43" s="1"/>
    </row>
  </sheetData>
  <mergeCells count="3">
    <mergeCell ref="B1:C1"/>
    <mergeCell ref="D3:D4"/>
    <mergeCell ref="D5:D7"/>
  </mergeCells>
  <dataValidations>
    <dataValidation type="list" allowBlank="1" showErrorMessage="1" sqref="J9">
      <formula1>"Español,English"</formula1>
    </dataValidation>
    <dataValidation type="list" allowBlank="1" showErrorMessage="1" sqref="F11:F34">
      <formula1>CRD!$AK$12:$AK$13</formula1>
    </dataValidation>
    <dataValidation type="list" allowBlank="1" showErrorMessage="1" sqref="E11:E34">
      <formula1>CLB!$CA$12:$CA$13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