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L" sheetId="1" r:id="rId4"/>
  </sheets>
  <definedNames/>
  <calcPr/>
</workbook>
</file>

<file path=xl/sharedStrings.xml><?xml version="1.0" encoding="utf-8"?>
<sst xmlns="http://schemas.openxmlformats.org/spreadsheetml/2006/main" count="1101" uniqueCount="670">
  <si>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</si>
  <si>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</si>
  <si>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</si>
  <si>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</si>
  <si>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</si>
  <si>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</si>
  <si>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</si>
  <si>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</si>
  <si>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</si>
  <si>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</si>
  <si>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</si>
  <si>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</si>
  <si>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</si>
  <si>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</si>
  <si>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</si>
  <si>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</si>
  <si>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</si>
  <si>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</si>
  <si>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</si>
  <si>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</si>
  <si>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</si>
  <si>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</si>
  <si>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</si>
  <si>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</si>
  <si>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</si>
  <si>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</si>
  <si>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</si>
  <si>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</si>
  <si>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</si>
  <si>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</si>
  <si>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</si>
  <si>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</si>
  <si>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</si>
  <si>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</si>
  <si>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</si>
  <si>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</si>
  <si>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</si>
  <si>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</si>
  <si>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</si>
  <si>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</si>
  <si>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</si>
  <si>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</si>
  <si>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</si>
  <si>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</si>
  <si>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</si>
  <si>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</si>
  <si>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</si>
  <si>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</si>
  <si>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</si>
  <si>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</si>
  <si>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</si>
  <si>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</si>
  <si>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</si>
  <si>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</si>
  <si>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</si>
  <si>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</si>
  <si>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</si>
  <si>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</si>
  <si>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</si>
  <si>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</si>
  <si>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</si>
  <si>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</si>
  <si>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</si>
  <si>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</si>
  <si>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</si>
  <si>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</si>
  <si>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</si>
  <si>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</si>
  <si>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</si>
  <si>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</si>
  <si>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</si>
  <si>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</si>
  <si>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</si>
  <si>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</si>
  <si>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</si>
  <si>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</si>
  <si>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</si>
  <si>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</si>
  <si>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</si>
  <si>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</si>
  <si>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</si>
  <si>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</si>
  <si>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</si>
  <si>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</si>
  <si>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</si>
  <si>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</si>
  <si>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</si>
  <si>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</si>
  <si>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</si>
  <si>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</si>
  <si>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</si>
  <si>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</si>
  <si>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</si>
  <si>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</si>
  <si>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</si>
  <si>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</si>
  <si>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</si>
  <si>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</si>
  <si>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</si>
  <si>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</si>
  <si>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</si>
  <si>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</si>
  <si>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</si>
  <si>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</si>
  <si>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</si>
  <si>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</si>
  <si>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</si>
  <si>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</si>
  <si>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</si>
  <si>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</si>
  <si>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</si>
  <si>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</si>
  <si>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</si>
  <si>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</si>
  <si>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</si>
  <si>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</si>
  <si>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</si>
  <si>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</si>
  <si>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</si>
  <si>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</si>
  <si>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</si>
  <si>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</si>
  <si>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</si>
  <si>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</si>
  <si>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</si>
  <si>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</si>
  <si>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</si>
  <si>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</si>
  <si>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</si>
  <si>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</si>
  <si>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</si>
  <si>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</si>
  <si>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</si>
  <si>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</si>
  <si>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</si>
  <si>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</si>
  <si>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</si>
  <si>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</si>
  <si>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</si>
  <si>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</si>
  <si>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</si>
  <si>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</si>
  <si>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</si>
  <si>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</si>
  <si>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</si>
  <si>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</si>
  <si>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</si>
  <si>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</si>
  <si>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</si>
  <si>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</si>
  <si>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</si>
  <si>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</si>
  <si>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</si>
  <si>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</si>
  <si>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</si>
  <si>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</si>
  <si>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</si>
  <si>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</si>
  <si>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</si>
  <si>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</si>
  <si>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</si>
  <si>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</si>
  <si>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</si>
  <si>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</si>
  <si>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</si>
  <si>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</si>
  <si>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</si>
  <si>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</si>
  <si>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</si>
  <si>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</si>
  <si>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</si>
  <si>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</si>
  <si>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</si>
  <si>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</si>
  <si>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</si>
  <si>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</si>
  <si>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</si>
  <si>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</si>
  <si>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</si>
  <si>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</si>
  <si>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</si>
  <si>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</si>
  <si>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</si>
  <si>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</si>
  <si>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</si>
  <si>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</si>
  <si>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</si>
  <si>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</si>
  <si>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</si>
  <si>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</si>
  <si>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</si>
  <si>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</si>
  <si>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</si>
  <si>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</si>
  <si>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</si>
  <si>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</si>
  <si>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</si>
  <si>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</si>
  <si>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</si>
  <si>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</si>
  <si>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</si>
  <si>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</si>
  <si>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</si>
  <si>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</si>
  <si>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</si>
  <si>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</si>
  <si>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</si>
  <si>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</si>
  <si>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</si>
  <si>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</si>
  <si>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</si>
  <si>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</si>
  <si>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</si>
  <si>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</si>
  <si>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</si>
  <si>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</si>
  <si>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</si>
  <si>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</si>
  <si>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</si>
  <si>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</si>
  <si>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</si>
  <si>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</si>
  <si>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</si>
  <si>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</si>
  <si>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</si>
  <si>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</si>
  <si>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</si>
  <si>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</si>
  <si>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</si>
  <si>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</si>
  <si>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</si>
  <si>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</si>
  <si>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</si>
  <si>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</si>
  <si>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</si>
  <si>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</si>
  <si>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</si>
  <si>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</si>
  <si>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</si>
  <si>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</si>
  <si>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</si>
  <si>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</si>
  <si>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</si>
  <si>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</si>
  <si>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</si>
  <si>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</si>
  <si>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</si>
  <si>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</si>
  <si>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</si>
  <si>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</si>
  <si>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</si>
  <si>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</si>
  <si>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</si>
  <si>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</si>
  <si>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</si>
  <si>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</si>
  <si>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</si>
  <si>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</si>
  <si>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</si>
  <si>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</si>
  <si>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</si>
  <si>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</si>
  <si>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</si>
  <si>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</si>
  <si>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</si>
  <si>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</si>
  <si>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</si>
  <si>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</si>
  <si>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</si>
  <si>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</si>
  <si>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</si>
  <si>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</si>
  <si>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</si>
  <si>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</si>
  <si>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</si>
  <si>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</si>
  <si>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</si>
  <si>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</si>
  <si>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</si>
  <si>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</si>
  <si>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</si>
  <si>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</si>
  <si>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</si>
  <si>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</si>
  <si>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</si>
  <si>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</si>
  <si>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</si>
  <si>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</si>
  <si>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</si>
  <si>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</si>
  <si>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</si>
  <si>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</si>
  <si>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</si>
  <si>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</si>
  <si>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</si>
  <si>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</si>
  <si>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</si>
  <si>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</si>
  <si>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</si>
  <si>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</si>
  <si>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</si>
  <si>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</si>
  <si>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</si>
  <si>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</si>
  <si>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</si>
  <si>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</si>
  <si>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</si>
  <si>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</si>
  <si>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</si>
  <si>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</si>
  <si>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</si>
  <si>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</si>
  <si>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</si>
  <si>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</si>
  <si>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</si>
  <si>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</si>
  <si>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</si>
  <si>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</si>
  <si>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</si>
  <si>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</si>
  <si>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</si>
  <si>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</si>
  <si>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</si>
  <si>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</si>
  <si>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</si>
  <si>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</si>
  <si>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</si>
  <si>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</si>
  <si>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</si>
  <si>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</si>
  <si>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</si>
  <si>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</si>
  <si>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</si>
  <si>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</si>
  <si>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</si>
  <si>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</si>
  <si>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</si>
  <si>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</si>
  <si>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</si>
  <si>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</si>
  <si>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</si>
  <si>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</si>
  <si>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</si>
  <si>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</si>
  <si>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</si>
  <si>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</si>
  <si>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</si>
  <si>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</si>
  <si>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</si>
  <si>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</si>
  <si>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</si>
  <si>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</si>
  <si>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</si>
  <si>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</si>
  <si>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</si>
  <si>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</si>
  <si>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</si>
  <si>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</si>
  <si>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</si>
  <si>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</si>
  <si>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</si>
  <si>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</si>
  <si>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</si>
  <si>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</si>
  <si>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</si>
  <si>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</si>
  <si>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</si>
  <si>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</si>
  <si>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</si>
  <si>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</si>
  <si>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</si>
  <si>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</si>
  <si>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</si>
  <si>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</si>
  <si>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</si>
  <si>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</si>
  <si>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</si>
  <si>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</si>
  <si>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</si>
  <si>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</si>
  <si>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</si>
  <si>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</si>
  <si>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</si>
  <si>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</si>
  <si>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</si>
  <si>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</si>
  <si>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</si>
  <si>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</si>
  <si>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</si>
  <si>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</si>
  <si>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</si>
  <si>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</si>
  <si>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</si>
  <si>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</si>
  <si>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</si>
  <si>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</si>
  <si>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</si>
  <si>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</si>
  <si>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</si>
  <si>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</si>
  <si>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</si>
  <si>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</si>
  <si>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</si>
  <si>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</si>
  <si>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</si>
  <si>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</si>
  <si>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</si>
  <si>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</si>
  <si>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</si>
  <si>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</si>
  <si>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</si>
  <si>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</si>
  <si>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</si>
  <si>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</si>
  <si>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</si>
  <si>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</si>
  <si>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</si>
  <si>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</si>
  <si>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</si>
  <si>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</si>
  <si>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</si>
  <si>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</si>
  <si>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</si>
  <si>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</si>
  <si>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</si>
  <si>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</si>
  <si>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</si>
  <si>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</si>
  <si>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</si>
  <si>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</si>
  <si>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</si>
  <si>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</si>
  <si>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</si>
  <si>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</si>
  <si>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</si>
  <si>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</si>
  <si>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</si>
  <si>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</si>
  <si>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</si>
  <si>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</si>
  <si>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</si>
  <si>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</si>
  <si>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</si>
  <si>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</si>
  <si>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</si>
  <si>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</si>
  <si>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</si>
  <si>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</si>
  <si>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</si>
  <si>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</si>
  <si>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</si>
  <si>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</si>
  <si>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</si>
  <si>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</si>
  <si>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</si>
  <si>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</si>
  <si>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</si>
  <si>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</si>
  <si>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</si>
  <si>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</si>
  <si>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</si>
  <si>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</si>
  <si>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</si>
  <si>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</si>
  <si>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</si>
  <si>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</si>
  <si>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</si>
  <si>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</si>
  <si>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</si>
  <si>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</si>
  <si>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</si>
  <si>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</si>
  <si>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</si>
  <si>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</si>
  <si>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</si>
  <si>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</si>
  <si>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</si>
  <si>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</si>
  <si>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</si>
  <si>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</si>
  <si>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</si>
  <si>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</si>
  <si>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</si>
  <si>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</si>
  <si>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</si>
  <si>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</si>
  <si>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</si>
  <si>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</si>
  <si>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</si>
  <si>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</si>
  <si>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</si>
  <si>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</si>
  <si>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Clasificación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</si>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</sst>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457200</xdr:colOff>
      <xdr:row>0</xdr:row>
      <xdr:rowOff>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190500</xdr:colOff>
      <xdr:row>1</xdr:row>
      <xdr:rowOff>95250</xdr:rowOff>
    </xdr:from>
    <xdr:ext cx="952500" cy="10096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2.75"/>
    <col customWidth="1" min="7" max="8" width="11.6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13.75"/>
    <col customWidth="1" min="17" max="17" width="12.75"/>
    <col customWidth="1" min="18" max="18" width="7.38"/>
    <col customWidth="1" hidden="1" min="19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VLOOKUP($Q$9,$W$7:$CA$8,57,0)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VLOOKUP($Q$9,$W$7:$BZ$8,16,0)</f>
        <v>Canotaje Slalom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VLOOKUP($Q$9,$W$7:$CB$8,58,0)</f>
        <v>Datos del Atleta</v>
      </c>
      <c r="C9" s="20"/>
      <c r="D9" s="20"/>
      <c r="E9" s="10"/>
      <c r="F9" s="21"/>
      <c r="H9" s="8"/>
      <c r="L9" s="5"/>
      <c r="M9" s="5"/>
      <c r="N9" s="5"/>
      <c r="Q9" s="22" t="s">
        <v>59</v>
      </c>
      <c r="R9" s="5"/>
      <c r="S9" s="8"/>
      <c r="T9" s="8"/>
      <c r="U9" s="8"/>
      <c r="V9" s="8"/>
      <c r="W9" s="12"/>
      <c r="AF9" s="12"/>
    </row>
    <row r="10" ht="51.75" customHeight="1">
      <c r="A10" s="8"/>
      <c r="B10" s="23" t="s">
        <v>613</v>
      </c>
      <c r="C10" s="24" t="str">
        <f>VLOOKUP($Q$9,$W$5:$AE$6,2,0)</f>
        <v>Apellido</v>
      </c>
      <c r="D10" s="24" t="str">
        <f>VLOOKUP($Q$9,$W$5:$AE$6,3,0)</f>
        <v>Nombre</v>
      </c>
      <c r="E10" s="24" t="str">
        <f>VLOOKUP($Q$9,$W$5:$AE$6,4,0)</f>
        <v>Genero</v>
      </c>
      <c r="F10" s="24" t="str">
        <f>VLOOKUP($Q$9,$W$5:$AE$6,5,0)</f>
        <v>Evento Deportivo</v>
      </c>
      <c r="G10" s="25" t="str">
        <f>VLOOKUP($Q$9,$W$5:KX$6,6,0)</f>
        <v>Peso</v>
      </c>
      <c r="H10" s="25" t="str">
        <f>VLOOKUP($Q$9,$W$5:KX$6,7,0)</f>
        <v>Estatura</v>
      </c>
      <c r="I10" s="25" t="str">
        <f>VLOOKUP($Q$9,$W$5:KX$6,8,0)</f>
        <v>ID de Federación Internacional</v>
      </c>
      <c r="J10" s="25" t="str">
        <f>VLOOKUP($Q$9,$W$5:KX$6,9,0)</f>
        <v>Ranking Mundial Individual</v>
      </c>
      <c r="K10" s="25" t="str">
        <f>VLOOKUP($Q$9,$W$5:KX$6,10,0)</f>
        <v>Ranking Mundial Individual por puntos</v>
      </c>
      <c r="L10" s="25" t="str">
        <f>VLOOKUP($Q$9,$W$5:KX$6,15,0)</f>
        <v>Mejor marca Personal</v>
      </c>
      <c r="M10" s="25" t="str">
        <f>VLOOKUP($Q$9,$W$5:KX$6,16,0)</f>
        <v>Torneo en que se logró la Mejor marca Personal</v>
      </c>
      <c r="N10" s="25" t="str">
        <f>VLOOKUP($Q$9,$W$5:KX$6,17,0)</f>
        <v>Mejor marca de la Temporada</v>
      </c>
      <c r="O10" s="25" t="str">
        <f>VLOOKUP($Q$9,$W$5:KX$6,18,0)</f>
        <v>Torneo en que se logró la Mejor marca de la Temporada</v>
      </c>
      <c r="P10" s="25" t="str">
        <f>VLOOKUP($Q$9,$W$5:KX$6,19,0)</f>
        <v>Marca de Clasificación</v>
      </c>
      <c r="Q10" s="25" t="str">
        <f>VLOOKUP($Q$9,$W$5:KX$6,20,0)</f>
        <v>Torneo en que se logró la marca de Clasificación</v>
      </c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12" t="s">
        <v>668</v>
      </c>
      <c r="CA11" s="12" t="s">
        <v>669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5"/>
      <c r="S12" s="8"/>
      <c r="T12" s="8"/>
      <c r="U12" s="8"/>
      <c r="V12" s="8"/>
      <c r="W12" s="12"/>
      <c r="X12" s="8" t="str">
        <f>VLOOKUP($Q$9,$W$3:$KV$4,257,0)</f>
        <v>Recurvo Individual</v>
      </c>
      <c r="Y12" s="8" t="str">
        <f>VLOOKUP($Q$9,$W$3:$KV$4,200,0)</f>
        <v>Libre</v>
      </c>
      <c r="Z12" s="8" t="str">
        <f>VLOOKUP($Q$9,$W$3:$KV$4,30,0)</f>
        <v>100m</v>
      </c>
      <c r="AA12" s="8" t="str">
        <f>VLOOKUP($Q$9,$W$3:$KV$4,62,0)</f>
        <v>Béisbol</v>
      </c>
      <c r="AB12" s="8" t="str">
        <f>VLOOKUP($Q$9,$W$3:$KV$4,56,0)</f>
        <v>Individual</v>
      </c>
      <c r="AC12" s="8" t="str">
        <f>VLOOKUP($Q$9,$W$3:$KV$4,60,0)</f>
        <v>Básquetbol 3x3</v>
      </c>
      <c r="AD12" s="8" t="str">
        <f>VLOOKUP($Q$9,$W$3:$KV$4,59,0)</f>
        <v>Básquetbol</v>
      </c>
      <c r="AE12" s="8" t="str">
        <f>VLOOKUP($Q$9,$W$3:$KV$4,79,0)</f>
        <v>Breaking</v>
      </c>
      <c r="AF12" s="8" t="str">
        <f>VLOOKUP($Q$9,$W$3:$KV$4,93,0)</f>
        <v>BMX Freestyle</v>
      </c>
      <c r="AG12" s="8" t="s">
        <v>150</v>
      </c>
      <c r="AH12" s="8" t="str">
        <f>VLOOKUP($Q$9,$W$3:$KV$4,66,0)</f>
        <v>M 51 Kg</v>
      </c>
      <c r="AI12" s="8" t="str">
        <f>VLOOKUP($Q$9,$W$3:$KV$4,64,0)</f>
        <v>Individual</v>
      </c>
      <c r="AJ12" s="8" t="str">
        <f>VLOOKUP($Q$9,$W$3:$KV$4,110,0)</f>
        <v>Velocidad</v>
      </c>
      <c r="AK12" s="8" t="str">
        <f>VLOOKUP($Q$9,$W$3:$KV$4,96,0)</f>
        <v>Contrareloj</v>
      </c>
      <c r="AL12" s="8" t="str">
        <f>VLOOKUP($Q$9,$W$3:$KV$4,90,0)</f>
        <v>K1</v>
      </c>
      <c r="AM12" s="8" t="str">
        <f>VLOOKUP($Q$9,$W$3:$KV$4,80,0)</f>
        <v>MK1 1,000m</v>
      </c>
      <c r="AN12" s="8" t="str">
        <f>VLOOKUP($Q$9,$W$3:$KV$4,98,0)</f>
        <v>Velocidad Individual</v>
      </c>
      <c r="AO12" s="8" t="str">
        <f>VLOOKUP($Q$9,$W$3:$KV$4,2,0)</f>
        <v>Individual 1m Trampolín</v>
      </c>
      <c r="AP12" s="8" t="str">
        <f>VLOOKUP($Q$9,$W$3:$KV$4,104,0)</f>
        <v>Adiestramiento Individual</v>
      </c>
      <c r="AQ12" s="8" t="str">
        <f>VLOOKUP($Q$9,$W$3:$KV$4,123,0)</f>
        <v>Fútbol</v>
      </c>
      <c r="AR12" s="8" t="str">
        <f>VLOOKUP($Q$9,$W$3:$KV$4,112,0)</f>
        <v>Espada Individual</v>
      </c>
      <c r="AS12" s="8" t="str">
        <f>VLOOKUP($Q$9,$W$3:$KV$4,124,0)</f>
        <v>Equipos</v>
      </c>
      <c r="AT12" s="8" t="str">
        <f>VLOOKUP($Q$9,$W$3:$KV$4,144,0)</f>
        <v>Golf</v>
      </c>
      <c r="AU12" s="8" t="str">
        <f>VLOOKUP($Q$9,$W$3:$KV$4,134,0)</f>
        <v>General Individual</v>
      </c>
      <c r="AV12" s="8" t="str">
        <f>VLOOKUP($Q$9,$W$3:$KV$4,142,0)</f>
        <v>Individual</v>
      </c>
      <c r="AW12" s="8" t="str">
        <f>VLOOKUP($Q$9,$W$3:$KV$4,61,0)</f>
        <v>Balonmano</v>
      </c>
      <c r="AX12" s="8" t="str">
        <f>VLOOKUP($Q$9,$W$3:$KV$4,145,0)</f>
        <v>Hockey Césped</v>
      </c>
      <c r="AY12" s="8" t="str">
        <f>VLOOKUP($Q$9,$W$3:$KV$4,146,0)</f>
        <v>M -60 Kg</v>
      </c>
      <c r="AZ12" s="8" t="str">
        <f>VLOOKUP($Q$9,$W$3:$KV$4,161,0)</f>
        <v>Kumite M -60 Kg</v>
      </c>
      <c r="BA12" s="8" t="str">
        <f>VLOOKUP($Q$9,$W$3:$KV$4,211,0)</f>
        <v>Individual</v>
      </c>
      <c r="BB12" s="8" t="str">
        <f>VLOOKUP($Q$9,$W$3:$KV$4,95,0)</f>
        <v>Cross-Country</v>
      </c>
      <c r="BC12" s="8" t="str">
        <f>VLOOKUP($Q$9,$W$3:$KV$4,29,0)</f>
        <v>Aguas Abiertas</v>
      </c>
      <c r="BD12" s="8" t="str">
        <f>VLOOKUP($Q$9,$W$3:$KV$4,207,0)</f>
        <v>Pelota goma – Dobles Trinquete</v>
      </c>
      <c r="BE12" s="8" t="str">
        <f>VLOOKUP($Q$9,$W$3:$KV$4,218,0)</f>
        <v>M1x</v>
      </c>
      <c r="BF12" s="8" t="str">
        <f>VLOOKUP($Q$9,$W$3:$KV$4,214,0)</f>
        <v>Individual</v>
      </c>
      <c r="BG12" s="8" t="str">
        <f>VLOOKUP($Q$9,$W$3:$KV$4,231,0)</f>
        <v>Rugby 7</v>
      </c>
      <c r="BH12" s="8" t="str">
        <f>VLOOKUP($Q$9,$W$3:$KV$4,275,0)</f>
        <v>Tabla A Vela (Iqfoil)</v>
      </c>
      <c r="BI12" s="8" t="str">
        <f>VLOOKUP($Q$9,$W$3:$KV$4,63,0)</f>
        <v>Sóftbol</v>
      </c>
      <c r="BJ12" s="8" t="str">
        <f>VLOOKUP($Q$9,$W$3:$KV$4,263,0)</f>
        <v>Rifle 50m 3 Posiciones</v>
      </c>
      <c r="BK12" s="8" t="str">
        <f>VLOOKUP($Q$9,$W$3:$KV$4,205,0)</f>
        <v>Street</v>
      </c>
      <c r="BL12" s="8" t="str">
        <f>VLOOKUP($Q$9,$W$3:$KV$4,232,0)</f>
        <v>Individual</v>
      </c>
      <c r="BM12" s="8" t="str">
        <f>VLOOKUP($Q$9,$W$3:$KV$4,236,0)</f>
        <v>Shortboard</v>
      </c>
      <c r="BN12" s="8" t="str">
        <f>VLOOKUP($Q$9,$W$3:$KV$4,201,0)</f>
        <v>200m Meta Contra Meta</v>
      </c>
      <c r="BO12" s="8" t="str">
        <f>VLOOKUP($Q$9,$W$3:$KV$4,27,0)</f>
        <v>Duetos</v>
      </c>
      <c r="BP12" s="8" t="str">
        <f>VLOOKUP($Q$9,$W$3:$KV$4,7,0)</f>
        <v>50m libre</v>
      </c>
      <c r="BQ12" s="8" t="str">
        <f>VLOOKUP($Q$9,$W$3:$KV$4,250,0)</f>
        <v>Individual</v>
      </c>
      <c r="BR12" s="8" t="str">
        <f>VLOOKUP($Q$9,$W$3:$KV$4,240,0)</f>
        <v>M Kyorugi -58 Kg</v>
      </c>
      <c r="BS12" s="8" t="str">
        <f>VLOOKUP($Q$9,$W$3:$KV$4,273,0)</f>
        <v>Individual</v>
      </c>
      <c r="BT12" s="8" t="str">
        <f>VLOOKUP($Q$9,$W$3:$KV$4,253,0)</f>
        <v>Individual</v>
      </c>
      <c r="BU12" s="8" t="str">
        <f>VLOOKUP($Q$9,$W$3:$KV$4,286,0)</f>
        <v>Vóleibol Playa</v>
      </c>
      <c r="BV12" s="8" t="str">
        <f>VLOOKUP($Q$9,$W$3:$KV$4,285,0)</f>
        <v>Vóleibol</v>
      </c>
      <c r="BW12" s="8" t="str">
        <f>VLOOKUP($Q$9,$W$3:$KV$4,172,0)</f>
        <v>M 61 Kg</v>
      </c>
      <c r="BX12" s="8" t="str">
        <f>VLOOKUP($Q$9,$W$3:$KV$4,28,0)</f>
        <v>Polo Acuático</v>
      </c>
      <c r="BY12" s="8" t="str">
        <f>VLOOKUP($Q$9,$W$3:$KV$4,182,0)</f>
        <v>Grecoromana 60 Kg</v>
      </c>
      <c r="BZ12" s="8" t="str">
        <f>VLOOKUP($Q$9,$W$3:$KV$4,118,0)</f>
        <v>Figuras</v>
      </c>
      <c r="CA12" s="8" t="str">
        <f>VLOOKUP($Q$9,$W$3:$KX$4,287,0)</f>
        <v>Masculino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5"/>
      <c r="S13" s="8"/>
      <c r="T13" s="8"/>
      <c r="U13" s="8"/>
      <c r="V13" s="8"/>
      <c r="W13" s="12"/>
      <c r="X13" s="8" t="str">
        <f>VLOOKUP($Q$9,$W$3:$KV$4,258,0)</f>
        <v>Individual Compuesto</v>
      </c>
      <c r="Z13" s="8" t="str">
        <f>VLOOKUP($Q$9,$W$3:$KV$4,31,0)</f>
        <v>200m</v>
      </c>
      <c r="AB13" s="8" t="str">
        <f>VLOOKUP($Q$9,$W$3:$KV$4,57,0)</f>
        <v>Dobles</v>
      </c>
      <c r="AH13" s="8" t="str">
        <f>VLOOKUP($Q$9,$W$3:$KV$4,67,0)</f>
        <v>M 57 Kg</v>
      </c>
      <c r="AI13" s="8" t="str">
        <f>VLOOKUP($Q$9,$W$3:$KV$4,65,0)</f>
        <v>Dobles</v>
      </c>
      <c r="AJ13" s="8" t="str">
        <f>VLOOKUP($Q$9,$W$3:$KV$4,111,0)</f>
        <v>Boulder &amp; Lead</v>
      </c>
      <c r="AK13" s="8" t="str">
        <f>VLOOKUP($Q$9,$W$3:$KV$4,97,0)</f>
        <v>Gran Fondo</v>
      </c>
      <c r="AL13" s="8" t="str">
        <f>VLOOKUP($Q$9,$W$3:$KV$4,91,0)</f>
        <v>C1</v>
      </c>
      <c r="AM13" s="8" t="str">
        <f>VLOOKUP($Q$9,$W$3:$KV$4,81,0)</f>
        <v>MK2 500m</v>
      </c>
      <c r="AN13" s="8" t="str">
        <f>VLOOKUP($Q$9,$W$3:$KV$4,99,0)</f>
        <v>Keirin</v>
      </c>
      <c r="AO13" s="8" t="str">
        <f>VLOOKUP($Q$9,$W$3:$KV$4,3,0)</f>
        <v>Individual 3m Trampolín</v>
      </c>
      <c r="AP13" s="8" t="str">
        <f>VLOOKUP($Q$9,$W$3:$KV$4,105,0)</f>
        <v>Adiestramiento Equipos</v>
      </c>
      <c r="AR13" s="8" t="str">
        <f>VLOOKUP($Q$9,$W$3:$KV$4,113,0)</f>
        <v>Florete Individual</v>
      </c>
      <c r="AS13" s="8" t="str">
        <f>VLOOKUP($Q$9,$W$3:$KV$4,125,0)</f>
        <v>Individual General</v>
      </c>
      <c r="AU13" s="8" t="str">
        <f>VLOOKUP($Q$9,$W$3:$KV$4,135,0)</f>
        <v>Aro</v>
      </c>
      <c r="AV13" s="8" t="str">
        <f>VLOOKUP($Q$9,$W$3:$KV$4,143,0)</f>
        <v>Sincronizados</v>
      </c>
      <c r="AY13" s="8" t="str">
        <f>VLOOKUP($Q$9,$W$3:$KV$4,147,0)</f>
        <v>M -66 Kg</v>
      </c>
      <c r="AZ13" s="8" t="str">
        <f>VLOOKUP($Q$9,$W$3:$KV$4,162,0)</f>
        <v>Kumite M -67 Kg</v>
      </c>
      <c r="BA13" s="8" t="str">
        <f>VLOOKUP($Q$9,$W$3:$KV$4,212,0)</f>
        <v>Relevos</v>
      </c>
      <c r="BD13" s="8" t="str">
        <f>VLOOKUP($Q$9,$W$3:$KV$4,208,0)</f>
        <v>Pelota goma – Individual (Frontón)</v>
      </c>
      <c r="BE13" s="8" t="str">
        <f>VLOOKUP($Q$9,$W$3:$KV$4,219,0)</f>
        <v>M2x</v>
      </c>
      <c r="BF13" s="8" t="str">
        <f>VLOOKUP($Q$9,$W$3:$KV$4,215,0)</f>
        <v>Dobles</v>
      </c>
      <c r="BH13" s="8" t="str">
        <f>VLOOKUP($Q$9,$W$3:$KV$4,276,0)</f>
        <v>Bote (Ilca 7)</v>
      </c>
      <c r="BJ13" s="8" t="str">
        <f>VLOOKUP($Q$9,$W$3:$KV$4,264,0)</f>
        <v>10m Rifle De Aire</v>
      </c>
      <c r="BK13" s="8" t="str">
        <f>VLOOKUP($Q$9,$W$3:$KV$4,206,0)</f>
        <v>Park</v>
      </c>
      <c r="BL13" s="8" t="str">
        <f>VLOOKUP($Q$9,$W$3:$KV$4,233,0)</f>
        <v>Equipos</v>
      </c>
      <c r="BM13" s="8" t="str">
        <f>VLOOKUP($Q$9,$W$3:$KV$4,237,0)</f>
        <v>Sup Surf</v>
      </c>
      <c r="BN13" s="8" t="str">
        <f>VLOOKUP($Q$9,$W$3:$KV$4,202,0)</f>
        <v>500m + Distancia</v>
      </c>
      <c r="BO13" s="8" t="str">
        <f>VLOOKUP($Q$9,$W$3:$KV$4,26,0)</f>
        <v>Equipos</v>
      </c>
      <c r="BP13" s="8" t="str">
        <f>VLOOKUP($Q$9,$W$3:$KV$4,8,0)</f>
        <v>100m libre</v>
      </c>
      <c r="BQ13" s="8" t="str">
        <f>VLOOKUP($Q$9,$W$3:$KV$4,251,0)</f>
        <v>Dobles</v>
      </c>
      <c r="BR13" s="8" t="str">
        <f>VLOOKUP($Q$9,$W$3:$KV$4,241,0)</f>
        <v>M Kyorugi -68 Kg</v>
      </c>
      <c r="BS13" s="8" t="str">
        <f>VLOOKUP($Q$9,$W$3:$KV$4,274,0)</f>
        <v>Relevos Mixtos</v>
      </c>
      <c r="BT13" s="8" t="str">
        <f>VLOOKUP($Q$9,$W$3:$KV$4,254,0)</f>
        <v>Equipos</v>
      </c>
      <c r="BW13" s="8" t="str">
        <f>VLOOKUP($Q$9,$W$3:$KV$4,173,0)</f>
        <v>M 73 Kg</v>
      </c>
      <c r="BY13" s="8" t="str">
        <f>VLOOKUP($Q$9,$W$3:$KV$4,183,0)</f>
        <v>Grecoromana 67 Kg</v>
      </c>
      <c r="BZ13" s="8" t="str">
        <f>VLOOKUP($Q$9,$W$3:$KV$4,119,0)</f>
        <v>Slalom</v>
      </c>
      <c r="CA13" s="8" t="str">
        <f>VLOOKUP($Q$9,$W$3:$KX$4,288,0)</f>
        <v>Femenino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5"/>
      <c r="S14" s="8"/>
      <c r="T14" s="8"/>
      <c r="U14" s="8"/>
      <c r="V14" s="8"/>
      <c r="W14" s="12"/>
      <c r="X14" s="8" t="str">
        <f>VLOOKUP($Q$9,$W$3:$KV$4,259,0)</f>
        <v>Equipo Recurvo</v>
      </c>
      <c r="Z14" s="8" t="str">
        <f>VLOOKUP($Q$9,$W$3:$KV$4,32,0)</f>
        <v>400m</v>
      </c>
      <c r="AB14" s="8" t="str">
        <f>VLOOKUP($Q$9,$W$3:$KV$4,58,0)</f>
        <v>Dobles Mixto</v>
      </c>
      <c r="AH14" s="8" t="str">
        <f>VLOOKUP($Q$9,$W$3:$KV$4,68,0)</f>
        <v>M 63.5 Kg</v>
      </c>
      <c r="AI14" s="8"/>
      <c r="AL14" s="8" t="str">
        <f>VLOOKUP($Q$9,$W$3:$KV$4,92,0)</f>
        <v>K1 Extreme</v>
      </c>
      <c r="AM14" s="8" t="str">
        <f>VLOOKUP($Q$9,$W$3:$KV$4,82,0)</f>
        <v>MK4 500m</v>
      </c>
      <c r="AN14" s="8" t="str">
        <f>VLOOKUP($Q$9,$W$3:$KV$4,100,0)</f>
        <v>Omnium</v>
      </c>
      <c r="AO14" s="8" t="str">
        <f>VLOOKUP($Q$9,$W$3:$KV$4,4,0)</f>
        <v>Individual 10m Plataforma</v>
      </c>
      <c r="AP14" s="8" t="str">
        <f>VLOOKUP($Q$9,$W$3:$KV$4,106,0)</f>
        <v>Evento Completo Individual</v>
      </c>
      <c r="AR14" s="8" t="str">
        <f>VLOOKUP($Q$9,$W$3:$KV$4,114,0)</f>
        <v>Sable Individual</v>
      </c>
      <c r="AS14" s="8" t="str">
        <f>VLOOKUP($Q$9,$W$3:$KV$4,126,0)</f>
        <v>Suelo</v>
      </c>
      <c r="AU14" s="8" t="str">
        <f>VLOOKUP($Q$9,$W$3:$KV$4,136,0)</f>
        <v>Pelota</v>
      </c>
      <c r="AY14" s="8" t="str">
        <f>VLOOKUP($Q$9,$W$3:$KV$4,148,0)</f>
        <v>M -73 Kg</v>
      </c>
      <c r="AZ14" s="8" t="str">
        <f>VLOOKUP($Q$9,$W$3:$KV$4,163,0)</f>
        <v>Kumite M -75 Kg</v>
      </c>
      <c r="BA14" s="8" t="str">
        <f>VLOOKUP($Q$9,$W$3:$KV$4,213,0)</f>
        <v>Relevos Mixtos</v>
      </c>
      <c r="BD14" s="8" t="str">
        <f>VLOOKUP($Q$9,$W$3:$KV$4,209,0)</f>
        <v>Frontenis -Dobles (Frontón)</v>
      </c>
      <c r="BE14" s="8" t="str">
        <f>VLOOKUP($Q$9,$W$3:$KV$4,220,0)</f>
        <v>M4x</v>
      </c>
      <c r="BF14" s="8" t="str">
        <f>VLOOKUP($Q$9,$W$3:$KV$4,216,0)</f>
        <v>Equipos</v>
      </c>
      <c r="BH14" s="8" t="str">
        <f>VLOOKUP($Q$9,$W$3:$KV$4,277,0)</f>
        <v>Bote (Ilca 6)</v>
      </c>
      <c r="BJ14" s="8" t="str">
        <f>VLOOKUP($Q$9,$W$3:$KV$4,265,0)</f>
        <v>10m Pistola De Aire</v>
      </c>
      <c r="BL14" s="8" t="str">
        <f>VLOOKUP($Q$9,$W$3:$KV$4,234,0)</f>
        <v>Dobles</v>
      </c>
      <c r="BM14" s="8" t="str">
        <f>VLOOKUP($Q$9,$W$3:$KV$4,238,0)</f>
        <v>Sup Race</v>
      </c>
      <c r="BN14" s="8" t="str">
        <f>VLOOKUP($Q$9,$W$3:$KV$4,203,0)</f>
        <v>10000m Eliminación</v>
      </c>
      <c r="BP14" s="8" t="str">
        <f>VLOOKUP($Q$9,$W$3:$KV$4,9,0)</f>
        <v>200m libre</v>
      </c>
      <c r="BQ14" s="8" t="str">
        <f>VLOOKUP($Q$9,$W$3:$KV$4,252,0)</f>
        <v>Dobles Mixtos</v>
      </c>
      <c r="BR14" s="8" t="str">
        <f>VLOOKUP($Q$9,$W$3:$KV$4,242,0)</f>
        <v>M Kyorugi -80 Kg</v>
      </c>
      <c r="BT14" s="8" t="str">
        <f>VLOOKUP($Q$9,$W$3:$KV$4,255,0)</f>
        <v>Dobles</v>
      </c>
      <c r="BW14" s="8" t="str">
        <f>VLOOKUP($Q$9,$W$3:$KV$4,174,0)</f>
        <v>M 89 Kg</v>
      </c>
      <c r="BY14" s="8" t="str">
        <f>VLOOKUP($Q$9,$W$3:$KV$4,184,0)</f>
        <v>Grecoromana 77 Kg</v>
      </c>
      <c r="BZ14" s="8" t="str">
        <f>VLOOKUP($Q$9,$W$3:$KV$4,120,0)</f>
        <v>Salto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5"/>
      <c r="S15" s="8"/>
      <c r="T15" s="8"/>
      <c r="U15" s="8"/>
      <c r="V15" s="8"/>
      <c r="W15" s="12"/>
      <c r="X15" s="8" t="str">
        <f>VLOOKUP($Q$9,$W$3:$KV$4,260,0)</f>
        <v>Equipo Compuesto</v>
      </c>
      <c r="Z15" s="8" t="str">
        <f>VLOOKUP($Q$9,$W$3:$KV$4,33,0)</f>
        <v>800m</v>
      </c>
      <c r="AB15" s="8"/>
      <c r="AH15" s="8" t="str">
        <f>VLOOKUP($Q$9,$W$3:$KV$4,69,0)</f>
        <v>M 71 Kg</v>
      </c>
      <c r="AL15" s="8"/>
      <c r="AM15" s="8" t="str">
        <f>VLOOKUP($Q$9,$W$3:$KV$4,83,0)</f>
        <v>MC1 1,000m</v>
      </c>
      <c r="AN15" s="8" t="str">
        <f>VLOOKUP($Q$9,$W$3:$KV$4,101,0)</f>
        <v>Velocidad Equipos</v>
      </c>
      <c r="AO15" s="8" t="str">
        <f>VLOOKUP($Q$9,$W$3:$KV$4,5,0)</f>
        <v>Sincronizados 3m Trampolín</v>
      </c>
      <c r="AP15" s="8" t="str">
        <f>VLOOKUP($Q$9,$W$3:$KV$4,107,0)</f>
        <v>Evento Completo Equipos</v>
      </c>
      <c r="AR15" s="8" t="str">
        <f>VLOOKUP($Q$9,$W$3:$KV$4,115,0)</f>
        <v>Espada Equipos</v>
      </c>
      <c r="AS15" s="8" t="str">
        <f>VLOOKUP($Q$9,$W$3:$KV$4,127,0)</f>
        <v>Caballo Con Arzones</v>
      </c>
      <c r="AU15" s="8" t="str">
        <f>VLOOKUP($Q$9,$W$3:$KV$4,137,0)</f>
        <v>Mazas</v>
      </c>
      <c r="AY15" s="8" t="str">
        <f>VLOOKUP($Q$9,$W$3:$KV$4,149,0)</f>
        <v>M -81 Kg</v>
      </c>
      <c r="AZ15" s="8" t="str">
        <f>VLOOKUP($Q$9,$W$3:$KV$4,164,0)</f>
        <v>Kumite M -84 Kg</v>
      </c>
      <c r="BD15" s="8" t="str">
        <f>VLOOKUP($Q$9,$W$3:$KV$4,210,0)</f>
        <v>Frontball</v>
      </c>
      <c r="BE15" s="8" t="str">
        <f>VLOOKUP($Q$9,$W$3:$KV$4,221,0)</f>
        <v>M2-</v>
      </c>
      <c r="BF15" s="8" t="str">
        <f>VLOOKUP($Q$9,$W$3:$KV$4,217,0)</f>
        <v>Dobles Mixtos</v>
      </c>
      <c r="BH15" s="8" t="str">
        <f>VLOOKUP($Q$9,$W$3:$KV$4,278,0)</f>
        <v>Bote (Sunfish)</v>
      </c>
      <c r="BJ15" s="8" t="str">
        <f>VLOOKUP($Q$9,$W$3:$KV$4,266,0)</f>
        <v>25m Pistola De Fuego Rapido</v>
      </c>
      <c r="BL15" s="8" t="str">
        <f>VLOOKUP($Q$9,$W$3:$KV$4,235,0)</f>
        <v>Dobles Mixtos</v>
      </c>
      <c r="BM15" s="8" t="str">
        <f>VLOOKUP($Q$9,$W$3:$KV$4,239,0)</f>
        <v>Longboard</v>
      </c>
      <c r="BN15" s="8" t="str">
        <f>VLOOKUP($Q$9,$W$3:$KV$4,204,0)</f>
        <v>1000m Sprint</v>
      </c>
      <c r="BP15" s="8" t="str">
        <f>VLOOKUP($Q$9,$W$3:$KV$4,10,0)</f>
        <v>400m libre</v>
      </c>
      <c r="BR15" s="8" t="str">
        <f>VLOOKUP($Q$9,$W$3:$KV$4,243,0)</f>
        <v>M Kyorugi +80 Kg</v>
      </c>
      <c r="BT15" s="8" t="str">
        <f>VLOOKUP($Q$9,$W$3:$KV$4,256,0)</f>
        <v>Dobles Mixtos</v>
      </c>
      <c r="BW15" s="8" t="str">
        <f>VLOOKUP($Q$9,$W$3:$KV$4,175,0)</f>
        <v>M 102 Kg</v>
      </c>
      <c r="BY15" s="8" t="str">
        <f>VLOOKUP($Q$9,$W$3:$KV$4,185,0)</f>
        <v>Grecoromana 87 Kg</v>
      </c>
      <c r="BZ15" s="8" t="str">
        <f>VLOOKUP($Q$9,$W$3:$KV$4,121,0)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5"/>
      <c r="S16" s="8"/>
      <c r="T16" s="8"/>
      <c r="U16" s="8"/>
      <c r="V16" s="8"/>
      <c r="W16" s="12"/>
      <c r="X16" s="8" t="str">
        <f>VLOOKUP($Q$9,$W$3:$KV$4,261,0)</f>
        <v>Equipo Recurvo Mixto</v>
      </c>
      <c r="Z16" s="8" t="str">
        <f>VLOOKUP($Q$9,$W$3:$KV$4,34,0)</f>
        <v>1500m</v>
      </c>
      <c r="AH16" s="8" t="str">
        <f>VLOOKUP($Q$9,$W$3:$KV$4,70,0)</f>
        <v>M 80 Kg</v>
      </c>
      <c r="AL16" s="8"/>
      <c r="AM16" s="8" t="str">
        <f>VLOOKUP($Q$9,$W$3:$KV$4,84,0)</f>
        <v>MC2 500m</v>
      </c>
      <c r="AN16" s="8" t="str">
        <f>VLOOKUP($Q$9,$W$3:$KV$4,102,0)</f>
        <v>Persecución Equipos</v>
      </c>
      <c r="AO16" s="8" t="str">
        <f>VLOOKUP($Q$9,$W$3:$KV$4,6,0)</f>
        <v>Sincronizados 10m Plataforma</v>
      </c>
      <c r="AP16" s="8" t="str">
        <f>VLOOKUP($Q$9,$W$3:$KV$4,108,0)</f>
        <v>Salto Individual</v>
      </c>
      <c r="AR16" s="8" t="str">
        <f>VLOOKUP($Q$9,$W$3:$KV$4,116,0)</f>
        <v>Florete Equipos</v>
      </c>
      <c r="AS16" s="8" t="str">
        <f>VLOOKUP($Q$9,$W$3:$KV$4,128,0)</f>
        <v>Anillas</v>
      </c>
      <c r="AU16" s="8" t="str">
        <f>VLOOKUP($Q$9,$W$3:$KV$4,138,0)</f>
        <v>Cinta</v>
      </c>
      <c r="AY16" s="8" t="str">
        <f>VLOOKUP($Q$9,$W$3:$KV$4,150,0)</f>
        <v>M -90 Kg</v>
      </c>
      <c r="AZ16" s="8" t="str">
        <f>VLOOKUP($Q$9,$W$3:$KV$4,165,0)</f>
        <v>Kumite M +84 Kg</v>
      </c>
      <c r="BE16" s="8" t="str">
        <f>VLOOKUP($Q$9,$W$3:$KV$4,222,0)</f>
        <v>M4-</v>
      </c>
      <c r="BF16" s="8"/>
      <c r="BH16" s="8" t="str">
        <f>VLOOKUP($Q$9,$W$3:$KV$4,279,0)</f>
        <v>Skiff (49Er)</v>
      </c>
      <c r="BJ16" s="8" t="str">
        <f>VLOOKUP($Q$9,$W$3:$KV$4,267,0)</f>
        <v>25m Pistola Deportiva</v>
      </c>
      <c r="BM16" s="8"/>
      <c r="BP16" s="8" t="str">
        <f>VLOOKUP($Q$9,$W$3:$KV$4,11,0)</f>
        <v>800m libre</v>
      </c>
      <c r="BR16" s="8" t="str">
        <f>VLOOKUP($Q$9,$W$3:$KV$4,244,0)</f>
        <v>F Kyorugi -49 Kg</v>
      </c>
      <c r="BW16" s="8" t="str">
        <f>VLOOKUP($Q$9,$W$3:$KV$4,176,0)</f>
        <v>M +102 Kg</v>
      </c>
      <c r="BY16" s="8" t="str">
        <f>VLOOKUP($Q$9,$W$3:$KV$4,186,0)</f>
        <v>Grecoromana 97 Kg</v>
      </c>
      <c r="BZ16" s="8" t="str">
        <f>VLOOKUP($Q$9,$W$3:$KV$4,122,0)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5"/>
      <c r="S17" s="8"/>
      <c r="T17" s="8"/>
      <c r="U17" s="8"/>
      <c r="V17" s="8"/>
      <c r="W17" s="12"/>
      <c r="X17" s="8" t="str">
        <f>VLOOKUP($Q$9,$W$3:$KV$4,262,0)</f>
        <v>Equipo Compuesto Mixto</v>
      </c>
      <c r="Z17" s="8" t="str">
        <f>VLOOKUP($Q$9,$W$3:$KV$4,3,0)</f>
        <v>Individual 3m Trampolín</v>
      </c>
      <c r="AH17" s="8" t="str">
        <f>VLOOKUP($Q$9,$W$3:$KV$4,71,0)</f>
        <v>M 92 Kg</v>
      </c>
      <c r="AM17" s="8" t="str">
        <f>VLOOKUP($Q$9,$W$3:$KV$4,85,0)</f>
        <v>WK1 500m</v>
      </c>
      <c r="AN17" s="8" t="str">
        <f>VLOOKUP($Q$9,$W$3:$KV$4,103,0)</f>
        <v>Madison</v>
      </c>
      <c r="AP17" s="8" t="str">
        <f>VLOOKUP($Q$9,$W$3:$KV$4,109,0)</f>
        <v>Salto Equipos</v>
      </c>
      <c r="AR17" s="8" t="str">
        <f>VLOOKUP($Q$9,$W$3:$KV$4,117,0)</f>
        <v>Sable Equipos</v>
      </c>
      <c r="AS17" s="8" t="str">
        <f>VLOOKUP($Q$9,$W$3:$KV$4,129,0)</f>
        <v>Salto</v>
      </c>
      <c r="AU17" s="8" t="str">
        <f>VLOOKUP($Q$9,$W$3:$KV$4,139,0)</f>
        <v>General De Conjuntos</v>
      </c>
      <c r="AY17" s="8" t="str">
        <f>VLOOKUP($Q$9,$W$3:$KV$4,151,0)</f>
        <v>M -100 Kg</v>
      </c>
      <c r="AZ17" s="8" t="str">
        <f>VLOOKUP($Q$9,$W$3:$KV$4,166,0)</f>
        <v>Kumite F -50 Kg</v>
      </c>
      <c r="BE17" s="8" t="str">
        <f>VLOOKUP($Q$9,$W$3:$KV$4,223,0)</f>
        <v>LM2x</v>
      </c>
      <c r="BH17" s="8" t="str">
        <f>VLOOKUP($Q$9,$W$3:$KV$4,280,0)</f>
        <v>Skiff (49Er Fx)</v>
      </c>
      <c r="BJ17" s="8" t="str">
        <f>VLOOKUP($Q$9,$W$3:$KV$4,268,0)</f>
        <v>Skeet</v>
      </c>
      <c r="BP17" s="8" t="str">
        <f>VLOOKUP($Q$9,$W$3:$KV$4,12,0)</f>
        <v>1.500m libre</v>
      </c>
      <c r="BR17" s="8" t="str">
        <f>VLOOKUP($Q$9,$W$3:$KV$4,245,0)</f>
        <v>F Kyorugi -57 Kg</v>
      </c>
      <c r="BW17" s="8" t="str">
        <f>VLOOKUP($Q$9,$W$3:$KV$4,177,0)</f>
        <v>F 49 Kg</v>
      </c>
      <c r="BY17" s="8" t="str">
        <f>VLOOKUP($Q$9,$W$3:$KV$4,187,0)</f>
        <v>Grecoromana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5"/>
      <c r="S18" s="8"/>
      <c r="T18" s="8"/>
      <c r="U18" s="8"/>
      <c r="V18" s="8"/>
      <c r="W18" s="12"/>
      <c r="X18" s="8"/>
      <c r="Z18" s="8" t="str">
        <f>VLOOKUP($Q$9,$W$3:$KV$4,35,0)</f>
        <v>5000m</v>
      </c>
      <c r="AH18" s="8" t="str">
        <f>VLOOKUP($Q$9,$W$3:$KV$4,72,0)</f>
        <v>M +92 Kg</v>
      </c>
      <c r="AM18" s="8" t="str">
        <f>VLOOKUP($Q$9,$W$3:$KV$4,86,0)</f>
        <v>WK2 500m</v>
      </c>
      <c r="AS18" s="8" t="str">
        <f>VLOOKUP($Q$9,$W$3:$KV$4,130,0)</f>
        <v>Barras Paralelas</v>
      </c>
      <c r="AU18" s="8" t="str">
        <f>VLOOKUP($Q$9,$W$3:$KV$4,140,0)</f>
        <v>5 Aros</v>
      </c>
      <c r="AY18" s="8" t="str">
        <f>VLOOKUP($Q$9,$W$3:$KV$4,152,0)</f>
        <v>M +100 Kg</v>
      </c>
      <c r="AZ18" s="8" t="str">
        <f>VLOOKUP($Q$9,$W$3:$KV$4,167,0)</f>
        <v>Kumite F -55 Kg</v>
      </c>
      <c r="BE18" s="8" t="str">
        <f>VLOOKUP($Q$9,$W$3:$KV$4,224,0)</f>
        <v>W1x</v>
      </c>
      <c r="BH18" s="8" t="str">
        <f>VLOOKUP($Q$9,$W$3:$KV$4,281,0)</f>
        <v>Kite (Fomula Kite)</v>
      </c>
      <c r="BJ18" s="8" t="str">
        <f>VLOOKUP($Q$9,$W$3:$KV$4,269,0)</f>
        <v>Trap</v>
      </c>
      <c r="BP18" s="8" t="str">
        <f>VLOOKUP($Q$9,$W$3:$KV$4,13,0)</f>
        <v>100m espalda</v>
      </c>
      <c r="BR18" s="8" t="str">
        <f>VLOOKUP($Q$9,$W$3:$KV$4,246,0)</f>
        <v>F Kyorugi -67 Kg</v>
      </c>
      <c r="BW18" s="8" t="str">
        <f>VLOOKUP($Q$9,$W$3:$KV$4,178,0)</f>
        <v>F 59 Kg</v>
      </c>
      <c r="BY18" s="8" t="str">
        <f>VLOOKUP($Q$9,$W$3:$KV$4,188,0)</f>
        <v>Libre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5"/>
      <c r="S19" s="8"/>
      <c r="T19" s="8"/>
      <c r="U19" s="8"/>
      <c r="V19" s="8"/>
      <c r="W19" s="12"/>
      <c r="X19" s="8"/>
      <c r="Z19" s="8" t="str">
        <f>VLOOKUP($Q$9,$W$3:$KV$4,36,0)</f>
        <v>10000m</v>
      </c>
      <c r="AH19" s="8" t="str">
        <f>VLOOKUP($Q$9,$W$3:$KV$4,73,0)</f>
        <v>F 50 Kg</v>
      </c>
      <c r="AM19" s="8" t="str">
        <f>VLOOKUP($Q$9,$W$3:$KV$4,87,0)</f>
        <v>WK4 500M</v>
      </c>
      <c r="AS19" s="8" t="str">
        <f>VLOOKUP($Q$9,$W$3:$KV$4,131,0)</f>
        <v>Barra Fija</v>
      </c>
      <c r="AU19" s="8" t="str">
        <f>VLOOKUP($Q$9,$W$3:$KV$4,141,0)</f>
        <v>3 Cintas/2 Pelotas</v>
      </c>
      <c r="AY19" s="8" t="str">
        <f>VLOOKUP($Q$9,$W$3:$KV$4,153,0)</f>
        <v>F -48 Kg</v>
      </c>
      <c r="AZ19" s="8" t="str">
        <f>VLOOKUP($Q$9,$W$3:$KV$4,168,0)</f>
        <v>Kumite F -61 Kg</v>
      </c>
      <c r="BE19" s="8" t="str">
        <f>VLOOKUP($Q$9,$W$3:$KV$4,225,0)</f>
        <v>W2x</v>
      </c>
      <c r="BH19" s="8" t="str">
        <f>VLOOKUP($Q$9,$W$3:$KV$4,282,0)</f>
        <v>Mixto Catamarán (Nacra 17)</v>
      </c>
      <c r="BJ19" s="8" t="str">
        <f>VLOOKUP($Q$9,$W$3:$KV$4,270,0)</f>
        <v>Mixto 10m Rifle De Aire</v>
      </c>
      <c r="BP19" s="8" t="str">
        <f>VLOOKUP($Q$9,$W$3:$KV$4,14,0)</f>
        <v>200m espalda</v>
      </c>
      <c r="BR19" s="8" t="str">
        <f>VLOOKUP($Q$9,$W$3:$KV$4,247,0)</f>
        <v>F Kyorugi +67 Kg</v>
      </c>
      <c r="BW19" s="8" t="str">
        <f>VLOOKUP($Q$9,$W$3:$KV$4,179,0)</f>
        <v>F 71 Kg</v>
      </c>
      <c r="BY19" s="8" t="str">
        <f>VLOOKUP($Q$9,$W$3:$KV$4,189,0)</f>
        <v>Libre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5"/>
      <c r="S20" s="8"/>
      <c r="T20" s="8"/>
      <c r="U20" s="8"/>
      <c r="V20" s="8"/>
      <c r="W20" s="12"/>
      <c r="X20" s="8"/>
      <c r="Z20" s="8" t="str">
        <f>VLOOKUP($Q$9,$W$3:$KV$4,37,0)</f>
        <v>110 / 100 vallas</v>
      </c>
      <c r="AH20" s="8" t="str">
        <f>VLOOKUP($Q$9,$W$3:$KV$4,74,0)</f>
        <v>F 54 Kg</v>
      </c>
      <c r="AM20" s="8" t="str">
        <f>VLOOKUP($Q$9,$W$3:$KV$4,88,0)</f>
        <v>WC1 200m</v>
      </c>
      <c r="AS20" s="8" t="str">
        <f>VLOOKUP($Q$9,$W$3:$KV$4,132,0)</f>
        <v>Barras Asimétricas</v>
      </c>
      <c r="AY20" s="8" t="str">
        <f>VLOOKUP($Q$9,$W$3:$KV$4,154,0)</f>
        <v>F -52 Kg</v>
      </c>
      <c r="AZ20" s="8" t="str">
        <f>VLOOKUP($Q$9,$W$3:$KV$4,169,0)</f>
        <v>Kumite F -68 Kg </v>
      </c>
      <c r="BE20" s="8" t="str">
        <f>VLOOKUP($Q$9,$W$3:$KV$4,226,0)</f>
        <v>W4x</v>
      </c>
      <c r="BH20" s="8" t="str">
        <f>VLOOKUP($Q$9,$W$3:$KV$4,283,0)</f>
        <v>Mixto Bote (Snipe)</v>
      </c>
      <c r="BJ20" s="8" t="str">
        <f>VLOOKUP($Q$9,$W$3:$KV$4,271,0)</f>
        <v>Mixto 10m Pistola De Aire</v>
      </c>
      <c r="BP20" s="8" t="str">
        <f>VLOOKUP($Q$9,$W$3:$KV$4,15,0)</f>
        <v>100m pecho</v>
      </c>
      <c r="BR20" s="8" t="str">
        <f>VLOOKUP($Q$9,$W$3:$KV$4,248,0)</f>
        <v>Poomsae Tradicional Individual</v>
      </c>
      <c r="BW20" s="8" t="str">
        <f>VLOOKUP($Q$9,$W$3:$KV$4,180,0)</f>
        <v>F 81 Kg</v>
      </c>
      <c r="BY20" s="8" t="str">
        <f>VLOOKUP($Q$9,$W$3:$KV$4,190,0)</f>
        <v>Libre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"/>
      <c r="S21" s="21"/>
      <c r="T21" s="21"/>
      <c r="U21" s="21"/>
      <c r="V21" s="21"/>
      <c r="W21" s="12"/>
      <c r="X21" s="8"/>
      <c r="Z21" s="8" t="str">
        <f>VLOOKUP($Q$9,$W$3:$KV$4,38,0)</f>
        <v>400 Vallas</v>
      </c>
      <c r="AH21" s="8" t="str">
        <f>VLOOKUP($Q$9,$W$3:$KV$4,75,0)</f>
        <v>F 57 Kg</v>
      </c>
      <c r="AM21" s="8" t="str">
        <f>VLOOKUP($Q$9,$W$3:$KV$4,89,0)</f>
        <v>WC2 500m</v>
      </c>
      <c r="AS21" s="8" t="str">
        <f>VLOOKUP($Q$9,$W$3:$KV$4,133,0)</f>
        <v>Viga De Equilibrio</v>
      </c>
      <c r="AY21" s="8" t="str">
        <f>VLOOKUP($Q$9,$W$3:$KV$4,155,0)</f>
        <v>F -57 Kg</v>
      </c>
      <c r="AZ21" s="8" t="str">
        <f>VLOOKUP($Q$9,$W$3:$KV$4,170,0)</f>
        <v>Kumite F +68 Kg</v>
      </c>
      <c r="BE21" s="8" t="str">
        <f>VLOOKUP($Q$9,$W$3:$KV$4,227,0)</f>
        <v>W2-</v>
      </c>
      <c r="BH21" s="8" t="str">
        <f>VLOOKUP($Q$9,$W$3:$KV$4,284,0)</f>
        <v>Mixto Bote (Lightning)</v>
      </c>
      <c r="BJ21" s="8" t="str">
        <f>VLOOKUP($Q$9,$W$3:$KV$4,272,0)</f>
        <v>Mixto Skeet</v>
      </c>
      <c r="BP21" s="8" t="str">
        <f>VLOOKUP($Q$9,$W$3:$KV$4,16,0)</f>
        <v>200m pecho</v>
      </c>
      <c r="BR21" s="8" t="str">
        <f>VLOOKUP($Q$9,$W$3:$KV$4,249,0)</f>
        <v>Poomsae Parejas Libres</v>
      </c>
      <c r="BW21" s="8" t="str">
        <f>VLOOKUP($Q$9,$W$3:$KV$4,181,0)</f>
        <v>F +81 Kg</v>
      </c>
      <c r="BY21" s="8" t="str">
        <f>VLOOKUP($Q$9,$W$3:$KV$4,191,0)</f>
        <v>Libre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5"/>
      <c r="S22" s="21"/>
      <c r="T22" s="21"/>
      <c r="U22" s="21"/>
      <c r="V22" s="21"/>
      <c r="W22" s="12"/>
      <c r="X22" s="8"/>
      <c r="Z22" s="8" t="str">
        <f>VLOOKUP($Q$9,$W$3:$KV$4,39,0)</f>
        <v>3000 con obstáculos</v>
      </c>
      <c r="AH22" s="8" t="str">
        <f>VLOOKUP($Q$9,$W$3:$KV$4,76,0)</f>
        <v>F 60 Kg</v>
      </c>
      <c r="AY22" s="8" t="str">
        <f>VLOOKUP($Q$9,$W$3:$KV$4,156,0)</f>
        <v>F -63 Kg</v>
      </c>
      <c r="AZ22" s="8" t="str">
        <f>VLOOKUP($Q$9,$W$3:$KV$4,171,0)</f>
        <v>Kata</v>
      </c>
      <c r="BE22" s="8" t="str">
        <f>VLOOKUP($Q$9,$W$3:$KV$4,228,0)</f>
        <v>W4-</v>
      </c>
      <c r="BH22" s="8"/>
      <c r="BP22" s="8" t="str">
        <f>VLOOKUP($Q$9,$W$3:$KV$4,17,0)</f>
        <v>100m mariposa</v>
      </c>
      <c r="BY22" s="8" t="str">
        <f>VLOOKUP($Q$9,$W$3:$KV$4,192,0)</f>
        <v>Libre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5"/>
      <c r="S23" s="21"/>
      <c r="T23" s="21"/>
      <c r="U23" s="21"/>
      <c r="V23" s="21"/>
      <c r="W23" s="12"/>
      <c r="X23" s="8"/>
      <c r="Z23" s="8" t="str">
        <f>VLOOKUP($Q$9,$W$3:$KV$4,40,0)</f>
        <v>4x100m</v>
      </c>
      <c r="AH23" s="8" t="str">
        <f>VLOOKUP($Q$9,$W$3:$KV$4,77,0)</f>
        <v>F 66 Kg</v>
      </c>
      <c r="AY23" s="8" t="str">
        <f>VLOOKUP($Q$9,$W$3:$KV$4,157,0)</f>
        <v>F -70 Kg</v>
      </c>
      <c r="BE23" s="8" t="str">
        <f>VLOOKUP($Q$9,$W$3:$KV$4,229,0)</f>
        <v>LW2x</v>
      </c>
      <c r="BH23" s="8"/>
      <c r="BP23" s="8" t="str">
        <f t="shared" ref="BP23:BP24" si="1">VLOOKUP($Q$9,$W$3:$KV$4,18,0)</f>
        <v>200m mariposa</v>
      </c>
      <c r="BY23" s="8" t="str">
        <f>VLOOKUP($Q$9,$W$3:$KV$4,193,0)</f>
        <v>Libre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5"/>
      <c r="S24" s="21"/>
      <c r="T24" s="21"/>
      <c r="U24" s="21"/>
      <c r="V24" s="21"/>
      <c r="W24" s="12"/>
      <c r="X24" s="21"/>
      <c r="Z24" s="8" t="str">
        <f>VLOOKUP($Q$9,$W$3:$KV$4,41,0)</f>
        <v>4x400m</v>
      </c>
      <c r="AH24" s="8" t="str">
        <f>VLOOKUP($Q$9,$W$3:$KV$4,78,0)</f>
        <v>F 75 Kg</v>
      </c>
      <c r="AY24" s="8" t="str">
        <f>VLOOKUP($Q$9,$W$3:$KV$4,158,0)</f>
        <v>F -78 Kg</v>
      </c>
      <c r="BE24" s="8" t="str">
        <f>VLOOKUP($Q$9,$W$3:$KV$4,230,0)</f>
        <v>Mixto 8+</v>
      </c>
      <c r="BP24" s="8" t="str">
        <f t="shared" si="1"/>
        <v>200m mariposa</v>
      </c>
      <c r="BY24" s="8" t="str">
        <f>VLOOKUP($Q$9,$W$3:$KV$4,194,0)</f>
        <v>Libre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5"/>
      <c r="S25" s="1"/>
      <c r="T25" s="1"/>
      <c r="U25" s="1"/>
      <c r="V25" s="1"/>
      <c r="W25" s="12"/>
      <c r="X25" s="21"/>
      <c r="Z25" s="8" t="str">
        <f>VLOOKUP($Q$9,$W$3:$KV$4,42,0)</f>
        <v>Salto de Altura</v>
      </c>
      <c r="AY25" s="8" t="str">
        <f>VLOOKUP($Q$9,$W$3:$KV$4,159,0)</f>
        <v>F +78 Kg</v>
      </c>
      <c r="BP25" s="8" t="str">
        <f>VLOOKUP($Q$9,$W$3:$KV$4,19,0)</f>
        <v>200m combinado individual</v>
      </c>
      <c r="BY25" s="8" t="str">
        <f>VLOOKUP($Q$9,$W$3:$KV$4,195,0)</f>
        <v>Libre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5"/>
      <c r="S26" s="1"/>
      <c r="T26" s="1"/>
      <c r="U26" s="1"/>
      <c r="V26" s="1"/>
      <c r="W26" s="12"/>
      <c r="X26" s="21"/>
      <c r="Z26" s="8" t="str">
        <f>VLOOKUP($Q$9,$W$3:$KV$4,43,0)</f>
        <v>Salto de Longitud</v>
      </c>
      <c r="AY26" s="8" t="str">
        <f>VLOOKUP($Q$9,$W$3:$KV$4,160,0)</f>
        <v>Equipo  mixto</v>
      </c>
      <c r="BP26" s="8" t="str">
        <f>VLOOKUP($Q$9,$W$3:$KV$4,20,0)</f>
        <v>400m combinado individual</v>
      </c>
      <c r="BY26" s="8" t="str">
        <f>VLOOKUP($Q$9,$W$3:$KV$4,196,0)</f>
        <v>Libre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5"/>
      <c r="S27" s="1"/>
      <c r="T27" s="1"/>
      <c r="U27" s="1"/>
      <c r="V27" s="1"/>
      <c r="W27" s="12"/>
      <c r="X27" s="21"/>
      <c r="Z27" s="8" t="str">
        <f>VLOOKUP($Q$9,$W$3:$KV$4,44,0)</f>
        <v>Salto Triple</v>
      </c>
      <c r="BP27" s="8" t="str">
        <f>VLOOKUP($Q$9,$W$3:$KV$4,21,0)</f>
        <v>4 x 100m posta libre</v>
      </c>
      <c r="BY27" s="8" t="str">
        <f>VLOOKUP($Q$9,$W$3:$KV$4,197,0)</f>
        <v>Libre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5"/>
      <c r="S28" s="1"/>
      <c r="T28" s="1"/>
      <c r="U28" s="1"/>
      <c r="V28" s="1"/>
      <c r="W28" s="12"/>
      <c r="X28" s="21"/>
      <c r="Z28" s="8" t="str">
        <f>VLOOKUP($Q$9,$W$3:$KV$4,45,0)</f>
        <v>Salto con Pérdiga</v>
      </c>
      <c r="BP28" s="8" t="str">
        <f>VLOOKUP($Q$9,$W$3:$KV$4,22,0)</f>
        <v>4 x 200m posta libre</v>
      </c>
      <c r="BY28" s="8" t="str">
        <f>VLOOKUP($Q$9,$W$3:$KV$4,198,0)</f>
        <v>Libre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5"/>
      <c r="S29" s="1"/>
      <c r="T29" s="1"/>
      <c r="U29" s="1"/>
      <c r="V29" s="1"/>
      <c r="W29" s="12"/>
      <c r="X29" s="21"/>
      <c r="Z29" s="8" t="str">
        <f>VLOOKUP($Q$9,$W$3:$KV$4,46,0)</f>
        <v>Lanzamiento de Bala</v>
      </c>
      <c r="BP29" s="8" t="str">
        <f>VLOOKUP($Q$9,$W$3:$KV$4,23,0)</f>
        <v>4 x 100m posta combinada</v>
      </c>
      <c r="BY29" s="8" t="str">
        <f>VLOOKUP($Q$9,$W$3:$KV$4,199,0)</f>
        <v>Libre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5"/>
      <c r="S30" s="1"/>
      <c r="T30" s="1"/>
      <c r="U30" s="1"/>
      <c r="V30" s="1"/>
      <c r="W30" s="12"/>
      <c r="X30" s="21"/>
      <c r="Z30" s="8" t="str">
        <f>VLOOKUP($Q$9,$W$3:$KV$4,47,0)</f>
        <v>Lanzamiento de Disco</v>
      </c>
      <c r="BP30" s="8" t="str">
        <f>VLOOKUP($Q$9,$W$3:$KV$4,24,0)</f>
        <v>Mixto 4 x 100m posta libre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5"/>
      <c r="S31" s="1"/>
      <c r="T31" s="1"/>
      <c r="U31" s="1"/>
      <c r="V31" s="1"/>
      <c r="W31" s="12"/>
      <c r="X31" s="21"/>
      <c r="Z31" s="8" t="str">
        <f>VLOOKUP($Q$9,$W$3:$KV$4,48,0)</f>
        <v>Lanzamiento de Jabalina</v>
      </c>
      <c r="BP31" s="8" t="str">
        <f>VLOOKUP($Q$9,$W$3:$KV$4,25,0)</f>
        <v>Mixto 4 x 100m posta combinada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5"/>
      <c r="S32" s="1"/>
      <c r="T32" s="1"/>
      <c r="U32" s="1"/>
      <c r="V32" s="1"/>
      <c r="W32" s="12"/>
      <c r="X32" s="21"/>
      <c r="Z32" s="8" t="str">
        <f>VLOOKUP($Q$9,$W$3:$KV$4,49,0)</f>
        <v>Lanzamiento de Martillo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5"/>
      <c r="S33" s="1"/>
      <c r="T33" s="1"/>
      <c r="U33" s="1"/>
      <c r="V33" s="1"/>
      <c r="W33" s="12"/>
      <c r="X33" s="21"/>
      <c r="Z33" s="8" t="str">
        <f>VLOOKUP($Q$9,$W$3:$KV$4,50,0)</f>
        <v>20 km marcha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5"/>
      <c r="S34" s="1"/>
      <c r="T34" s="1"/>
      <c r="U34" s="1"/>
      <c r="V34" s="1"/>
      <c r="W34" s="12"/>
      <c r="X34" s="21"/>
      <c r="Z34" s="8" t="str">
        <f>VLOOKUP($Q$9,$W$3:$KV$4,51,0)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VLOOKUP($Q$9,$W$3:$KV$4,52,0)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VLOOKUP($Q$9,$W$3:$KV$4,53,0)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VLOOKUP($Q$9,$W$3:$KV$4,54,0)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VLOOKUP($Q$9,$W$3:$KV$4,55,0)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4"/>
      <c r="K43" s="1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2"/>
      <c r="X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4"/>
      <c r="K44" s="1"/>
      <c r="L44" s="5"/>
      <c r="M44" s="5"/>
      <c r="N44" s="5"/>
      <c r="O44" s="5"/>
      <c r="P44" s="5"/>
      <c r="Q44" s="5"/>
      <c r="R44" s="5"/>
      <c r="S44" s="1"/>
      <c r="T44" s="1"/>
      <c r="U44" s="1"/>
      <c r="V44" s="1"/>
      <c r="W44" s="12"/>
      <c r="X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4"/>
      <c r="K45" s="1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2"/>
      <c r="X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4"/>
      <c r="K46" s="1"/>
      <c r="L46" s="5"/>
      <c r="M46" s="5"/>
      <c r="N46" s="5"/>
      <c r="O46" s="5"/>
      <c r="P46" s="5"/>
      <c r="Q46" s="5"/>
      <c r="R46" s="5"/>
      <c r="S46" s="1"/>
      <c r="T46" s="1"/>
      <c r="U46" s="1"/>
      <c r="V46" s="1"/>
      <c r="W46" s="12"/>
      <c r="X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4"/>
      <c r="K47" s="1"/>
      <c r="L47" s="5"/>
      <c r="M47" s="5"/>
      <c r="N47" s="5"/>
      <c r="O47" s="5"/>
      <c r="P47" s="5"/>
      <c r="Q47" s="5"/>
      <c r="R47" s="5"/>
      <c r="S47" s="1"/>
      <c r="T47" s="1"/>
      <c r="U47" s="1"/>
      <c r="V47" s="1"/>
      <c r="W47" s="12"/>
      <c r="X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4"/>
      <c r="K48" s="1"/>
      <c r="L48" s="5"/>
      <c r="M48" s="5"/>
      <c r="N48" s="5"/>
      <c r="O48" s="5"/>
      <c r="P48" s="5"/>
      <c r="Q48" s="5"/>
      <c r="R48" s="5"/>
      <c r="S48" s="1"/>
      <c r="T48" s="1"/>
      <c r="U48" s="1"/>
      <c r="V48" s="1"/>
      <c r="W48" s="12"/>
      <c r="X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4"/>
      <c r="K49" s="1"/>
      <c r="L49" s="5"/>
      <c r="M49" s="5"/>
      <c r="N49" s="5"/>
      <c r="O49" s="5"/>
      <c r="P49" s="5"/>
      <c r="Q49" s="5"/>
      <c r="R49" s="5"/>
      <c r="S49" s="1"/>
      <c r="T49" s="1"/>
      <c r="U49" s="1"/>
      <c r="V49" s="1"/>
      <c r="W49" s="12"/>
      <c r="X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4"/>
      <c r="K50" s="1"/>
      <c r="L50" s="5"/>
      <c r="M50" s="5"/>
      <c r="N50" s="5"/>
      <c r="O50" s="5"/>
      <c r="P50" s="5"/>
      <c r="Q50" s="5"/>
      <c r="R50" s="5"/>
      <c r="S50" s="1"/>
      <c r="T50" s="1"/>
      <c r="U50" s="1"/>
      <c r="V50" s="1"/>
      <c r="W50" s="12"/>
      <c r="X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4"/>
      <c r="K51" s="1"/>
      <c r="L51" s="5"/>
      <c r="M51" s="5"/>
      <c r="N51" s="5"/>
      <c r="O51" s="5"/>
      <c r="P51" s="5"/>
      <c r="Q51" s="5"/>
      <c r="R51" s="5"/>
      <c r="S51" s="1"/>
      <c r="T51" s="1"/>
      <c r="U51" s="1"/>
      <c r="V51" s="1"/>
      <c r="W51" s="12"/>
      <c r="X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4"/>
      <c r="K52" s="1"/>
      <c r="L52" s="5"/>
      <c r="M52" s="5"/>
      <c r="N52" s="5"/>
      <c r="O52" s="5"/>
      <c r="P52" s="5"/>
      <c r="Q52" s="5"/>
      <c r="R52" s="5"/>
      <c r="S52" s="1"/>
      <c r="T52" s="1"/>
      <c r="U52" s="1"/>
      <c r="V52" s="1"/>
      <c r="W52" s="12"/>
      <c r="X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4"/>
      <c r="K53" s="1"/>
      <c r="L53" s="5"/>
      <c r="M53" s="5"/>
      <c r="N53" s="5"/>
      <c r="O53" s="5"/>
      <c r="P53" s="5"/>
      <c r="Q53" s="5"/>
      <c r="R53" s="5"/>
      <c r="S53" s="1"/>
      <c r="T53" s="1"/>
      <c r="U53" s="1"/>
      <c r="V53" s="1"/>
      <c r="W53" s="12"/>
      <c r="X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4"/>
      <c r="K54" s="1"/>
      <c r="L54" s="5"/>
      <c r="M54" s="5"/>
      <c r="N54" s="5"/>
      <c r="O54" s="5"/>
      <c r="P54" s="5"/>
      <c r="Q54" s="5"/>
      <c r="R54" s="5"/>
      <c r="S54" s="1"/>
      <c r="T54" s="1"/>
      <c r="U54" s="1"/>
      <c r="V54" s="1"/>
      <c r="W54" s="12"/>
      <c r="X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4"/>
      <c r="K55" s="1"/>
      <c r="L55" s="5"/>
      <c r="M55" s="5"/>
      <c r="N55" s="5"/>
      <c r="O55" s="5"/>
      <c r="P55" s="5"/>
      <c r="Q55" s="5"/>
      <c r="R55" s="5"/>
      <c r="S55" s="1"/>
      <c r="T55" s="1"/>
      <c r="U55" s="1"/>
      <c r="V55" s="1"/>
      <c r="W55" s="12"/>
      <c r="X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4"/>
      <c r="K56" s="1"/>
      <c r="L56" s="5"/>
      <c r="M56" s="5"/>
      <c r="N56" s="5"/>
      <c r="O56" s="5"/>
      <c r="P56" s="5"/>
      <c r="Q56" s="5"/>
      <c r="R56" s="5"/>
      <c r="S56" s="1"/>
      <c r="T56" s="1"/>
      <c r="U56" s="1"/>
      <c r="V56" s="1"/>
      <c r="W56" s="12"/>
      <c r="X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4"/>
      <c r="K57" s="1"/>
      <c r="L57" s="5"/>
      <c r="M57" s="5"/>
      <c r="N57" s="5"/>
      <c r="O57" s="5"/>
      <c r="P57" s="5"/>
      <c r="Q57" s="5"/>
      <c r="R57" s="5"/>
      <c r="S57" s="1"/>
      <c r="T57" s="1"/>
      <c r="U57" s="1"/>
      <c r="V57" s="1"/>
      <c r="W57" s="12"/>
      <c r="X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4"/>
      <c r="K58" s="1"/>
      <c r="L58" s="5"/>
      <c r="M58" s="5"/>
      <c r="N58" s="5"/>
      <c r="O58" s="5"/>
      <c r="P58" s="5"/>
      <c r="Q58" s="5"/>
      <c r="R58" s="5"/>
      <c r="S58" s="1"/>
      <c r="T58" s="1"/>
      <c r="U58" s="1"/>
      <c r="V58" s="1"/>
      <c r="W58" s="12"/>
      <c r="X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4"/>
      <c r="K59" s="1"/>
      <c r="L59" s="5"/>
      <c r="M59" s="5"/>
      <c r="N59" s="5"/>
      <c r="O59" s="5"/>
      <c r="P59" s="5"/>
      <c r="Q59" s="5"/>
      <c r="R59" s="5"/>
      <c r="S59" s="1"/>
      <c r="T59" s="1"/>
      <c r="U59" s="1"/>
      <c r="V59" s="1"/>
      <c r="W59" s="12"/>
      <c r="X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4"/>
      <c r="K60" s="1"/>
      <c r="L60" s="5"/>
      <c r="M60" s="5"/>
      <c r="N60" s="5"/>
      <c r="O60" s="5"/>
      <c r="P60" s="5"/>
      <c r="Q60" s="5"/>
      <c r="R60" s="5"/>
      <c r="S60" s="1"/>
      <c r="T60" s="1"/>
      <c r="U60" s="1"/>
      <c r="V60" s="1"/>
      <c r="W60" s="12"/>
      <c r="X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4"/>
      <c r="K61" s="1"/>
      <c r="L61" s="5"/>
      <c r="M61" s="5"/>
      <c r="N61" s="5"/>
      <c r="O61" s="5"/>
      <c r="P61" s="5"/>
      <c r="Q61" s="5"/>
      <c r="R61" s="5"/>
      <c r="S61" s="1"/>
      <c r="T61" s="1"/>
      <c r="U61" s="1"/>
      <c r="V61" s="1"/>
      <c r="W61" s="12"/>
      <c r="X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4"/>
      <c r="K62" s="1"/>
      <c r="L62" s="5"/>
      <c r="M62" s="5"/>
      <c r="N62" s="5"/>
      <c r="O62" s="5"/>
      <c r="P62" s="5"/>
      <c r="Q62" s="5"/>
      <c r="R62" s="5"/>
      <c r="S62" s="1"/>
      <c r="T62" s="1"/>
      <c r="U62" s="1"/>
      <c r="V62" s="1"/>
      <c r="W62" s="8"/>
      <c r="X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4"/>
      <c r="K63" s="1"/>
      <c r="L63" s="5"/>
      <c r="M63" s="5"/>
      <c r="N63" s="5"/>
      <c r="O63" s="5"/>
      <c r="P63" s="5"/>
      <c r="Q63" s="5"/>
      <c r="R63" s="5"/>
      <c r="S63" s="1"/>
      <c r="T63" s="1"/>
      <c r="U63" s="1"/>
      <c r="V63" s="1"/>
      <c r="W63" s="8"/>
      <c r="X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4"/>
      <c r="K64" s="1"/>
      <c r="L64" s="5"/>
      <c r="M64" s="5"/>
      <c r="N64" s="5"/>
      <c r="O64" s="5"/>
      <c r="P64" s="5"/>
      <c r="Q64" s="5"/>
      <c r="R64" s="5"/>
      <c r="S64" s="1"/>
      <c r="T64" s="1"/>
      <c r="U64" s="1"/>
      <c r="V64" s="1"/>
      <c r="W64" s="26"/>
      <c r="X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4"/>
      <c r="K65" s="1"/>
      <c r="L65" s="5"/>
      <c r="M65" s="5"/>
      <c r="N65" s="5"/>
      <c r="O65" s="5"/>
      <c r="P65" s="5"/>
      <c r="Q65" s="5"/>
      <c r="R65" s="5"/>
      <c r="S65" s="1"/>
      <c r="T65" s="1"/>
      <c r="U65" s="1"/>
      <c r="V65" s="1"/>
      <c r="W65" s="8"/>
      <c r="X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4"/>
      <c r="K66" s="1"/>
      <c r="L66" s="5"/>
      <c r="M66" s="5"/>
      <c r="N66" s="5"/>
      <c r="O66" s="5"/>
      <c r="P66" s="5"/>
      <c r="Q66" s="5"/>
      <c r="R66" s="5"/>
      <c r="S66" s="1"/>
      <c r="T66" s="1"/>
      <c r="U66" s="1"/>
      <c r="V66" s="1"/>
      <c r="W66" s="8"/>
      <c r="X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4"/>
      <c r="K67" s="1"/>
      <c r="L67" s="5"/>
      <c r="M67" s="5"/>
      <c r="N67" s="5"/>
      <c r="O67" s="5"/>
      <c r="P67" s="5"/>
      <c r="Q67" s="5"/>
      <c r="R67" s="5"/>
      <c r="S67" s="1"/>
      <c r="T67" s="1"/>
      <c r="U67" s="1"/>
      <c r="V67" s="1"/>
      <c r="W67" s="8"/>
      <c r="X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4"/>
      <c r="K68" s="1"/>
      <c r="L68" s="5"/>
      <c r="M68" s="5"/>
      <c r="N68" s="5"/>
      <c r="O68" s="5"/>
      <c r="P68" s="5"/>
      <c r="Q68" s="5"/>
      <c r="R68" s="5"/>
      <c r="S68" s="1"/>
      <c r="T68" s="1"/>
      <c r="U68" s="1"/>
      <c r="V68" s="1"/>
      <c r="W68" s="8"/>
      <c r="X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4"/>
      <c r="K69" s="1"/>
      <c r="L69" s="5"/>
      <c r="M69" s="5"/>
      <c r="N69" s="5"/>
      <c r="O69" s="5"/>
      <c r="P69" s="5"/>
      <c r="Q69" s="5"/>
      <c r="R69" s="5"/>
      <c r="S69" s="1"/>
      <c r="T69" s="1"/>
      <c r="U69" s="1"/>
      <c r="V69" s="1"/>
      <c r="W69" s="8"/>
      <c r="X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4"/>
      <c r="K70" s="1"/>
      <c r="L70" s="5"/>
      <c r="M70" s="5"/>
      <c r="N70" s="5"/>
      <c r="O70" s="5"/>
      <c r="P70" s="5"/>
      <c r="Q70" s="5"/>
      <c r="R70" s="5"/>
      <c r="S70" s="1"/>
      <c r="T70" s="1"/>
      <c r="U70" s="1"/>
      <c r="V70" s="1"/>
      <c r="W70" s="8"/>
      <c r="X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4"/>
      <c r="K71" s="1"/>
      <c r="L71" s="5"/>
      <c r="M71" s="5"/>
      <c r="N71" s="5"/>
      <c r="O71" s="5"/>
      <c r="P71" s="5"/>
      <c r="Q71" s="5"/>
      <c r="R71" s="5"/>
      <c r="S71" s="1"/>
      <c r="T71" s="1"/>
      <c r="U71" s="1"/>
      <c r="V71" s="1"/>
      <c r="W71" s="8"/>
      <c r="X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4"/>
      <c r="K72" s="1"/>
      <c r="L72" s="5"/>
      <c r="M72" s="5"/>
      <c r="N72" s="5"/>
      <c r="O72" s="5"/>
      <c r="P72" s="5"/>
      <c r="Q72" s="5"/>
      <c r="R72" s="5"/>
      <c r="S72" s="1"/>
      <c r="T72" s="1"/>
      <c r="U72" s="1"/>
      <c r="V72" s="1"/>
      <c r="W72" s="8"/>
      <c r="X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4"/>
      <c r="K73" s="1"/>
      <c r="L73" s="5"/>
      <c r="M73" s="5"/>
      <c r="N73" s="5"/>
      <c r="O73" s="5"/>
      <c r="P73" s="5"/>
      <c r="Q73" s="5"/>
      <c r="R73" s="5"/>
      <c r="S73" s="1"/>
      <c r="T73" s="1"/>
      <c r="U73" s="1"/>
      <c r="V73" s="1"/>
      <c r="W73" s="21"/>
      <c r="X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4"/>
      <c r="K74" s="1"/>
      <c r="L74" s="5"/>
      <c r="M74" s="5"/>
      <c r="N74" s="5"/>
      <c r="O74" s="5"/>
      <c r="P74" s="5"/>
      <c r="Q74" s="5"/>
      <c r="R74" s="5"/>
      <c r="S74" s="1"/>
      <c r="T74" s="1"/>
      <c r="U74" s="1"/>
      <c r="V74" s="1"/>
      <c r="W74" s="21"/>
      <c r="X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4"/>
      <c r="K75" s="1"/>
      <c r="L75" s="5"/>
      <c r="M75" s="5"/>
      <c r="N75" s="5"/>
      <c r="O75" s="5"/>
      <c r="P75" s="5"/>
      <c r="Q75" s="5"/>
      <c r="R75" s="5"/>
      <c r="S75" s="1"/>
      <c r="T75" s="1"/>
      <c r="U75" s="1"/>
      <c r="V75" s="1"/>
      <c r="W75" s="21"/>
      <c r="X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4"/>
      <c r="K76" s="1"/>
      <c r="L76" s="5"/>
      <c r="M76" s="5"/>
      <c r="N76" s="5"/>
      <c r="O76" s="5"/>
      <c r="P76" s="5"/>
      <c r="Q76" s="5"/>
      <c r="R76" s="5"/>
      <c r="S76" s="1"/>
      <c r="T76" s="1"/>
      <c r="U76" s="1"/>
      <c r="V76" s="1"/>
      <c r="W76" s="21"/>
      <c r="X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4"/>
      <c r="K77" s="1"/>
      <c r="L77" s="5"/>
      <c r="M77" s="5"/>
      <c r="N77" s="5"/>
      <c r="O77" s="5"/>
      <c r="P77" s="5"/>
      <c r="Q77" s="5"/>
      <c r="R77" s="5"/>
      <c r="S77" s="1"/>
      <c r="T77" s="1"/>
      <c r="U77" s="1"/>
      <c r="V77" s="1"/>
      <c r="W77" s="21"/>
      <c r="X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4"/>
      <c r="K78" s="1"/>
      <c r="L78" s="5"/>
      <c r="M78" s="5"/>
      <c r="N78" s="5"/>
      <c r="O78" s="5"/>
      <c r="P78" s="5"/>
      <c r="Q78" s="5"/>
      <c r="R78" s="5"/>
      <c r="S78" s="1"/>
      <c r="T78" s="1"/>
      <c r="U78" s="1"/>
      <c r="V78" s="1"/>
      <c r="W78" s="21"/>
      <c r="X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4"/>
      <c r="K79" s="1"/>
      <c r="L79" s="5"/>
      <c r="M79" s="5"/>
      <c r="N79" s="5"/>
      <c r="O79" s="5"/>
      <c r="P79" s="5"/>
      <c r="Q79" s="5"/>
      <c r="R79" s="5"/>
      <c r="S79" s="1"/>
      <c r="T79" s="1"/>
      <c r="U79" s="1"/>
      <c r="V79" s="1"/>
      <c r="W79" s="21"/>
      <c r="X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4"/>
      <c r="K80" s="1"/>
      <c r="L80" s="5"/>
      <c r="M80" s="5"/>
      <c r="N80" s="5"/>
      <c r="O80" s="5"/>
      <c r="P80" s="5"/>
      <c r="Q80" s="5"/>
      <c r="R80" s="5"/>
      <c r="S80" s="1"/>
      <c r="T80" s="1"/>
      <c r="U80" s="1"/>
      <c r="V80" s="1"/>
      <c r="W80" s="21"/>
      <c r="X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4"/>
      <c r="K81" s="1"/>
      <c r="L81" s="5"/>
      <c r="M81" s="5"/>
      <c r="N81" s="5"/>
      <c r="O81" s="5"/>
      <c r="P81" s="5"/>
      <c r="Q81" s="5"/>
      <c r="R81" s="5"/>
      <c r="S81" s="1"/>
      <c r="T81" s="1"/>
      <c r="U81" s="1"/>
      <c r="V81" s="1"/>
      <c r="W81" s="21"/>
      <c r="X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4"/>
      <c r="K82" s="1"/>
      <c r="L82" s="5"/>
      <c r="M82" s="5"/>
      <c r="N82" s="5"/>
      <c r="O82" s="5"/>
      <c r="P82" s="5"/>
      <c r="Q82" s="5"/>
      <c r="R82" s="5"/>
      <c r="S82" s="1"/>
      <c r="T82" s="1"/>
      <c r="U82" s="1"/>
      <c r="V82" s="1"/>
      <c r="W82" s="21"/>
      <c r="X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4"/>
      <c r="K83" s="1"/>
      <c r="L83" s="5"/>
      <c r="M83" s="5"/>
      <c r="N83" s="5"/>
      <c r="O83" s="5"/>
      <c r="P83" s="5"/>
      <c r="Q83" s="5"/>
      <c r="R83" s="5"/>
      <c r="S83" s="1"/>
      <c r="T83" s="1"/>
      <c r="U83" s="1"/>
      <c r="V83" s="1"/>
      <c r="W83" s="21"/>
      <c r="X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4"/>
      <c r="K84" s="1"/>
      <c r="L84" s="5"/>
      <c r="M84" s="5"/>
      <c r="N84" s="5"/>
      <c r="O84" s="5"/>
      <c r="P84" s="5"/>
      <c r="Q84" s="5"/>
      <c r="R84" s="5"/>
      <c r="S84" s="1"/>
      <c r="T84" s="1"/>
      <c r="U84" s="1"/>
      <c r="V84" s="1"/>
      <c r="W84" s="21"/>
      <c r="X84" s="1"/>
    </row>
    <row r="85">
      <c r="W85" s="21"/>
      <c r="X85" s="1"/>
    </row>
    <row r="86">
      <c r="W86" s="21"/>
      <c r="X86" s="1"/>
    </row>
    <row r="87">
      <c r="W87" s="21"/>
      <c r="X87" s="1"/>
    </row>
    <row r="88">
      <c r="W88" s="1"/>
      <c r="X88" s="1"/>
    </row>
    <row r="89">
      <c r="W89" s="1"/>
      <c r="X89" s="1"/>
    </row>
    <row r="90">
      <c r="W90" s="1"/>
      <c r="X90" s="1"/>
    </row>
    <row r="91">
      <c r="W91" s="1"/>
      <c r="X91" s="1"/>
    </row>
    <row r="92">
      <c r="W92" s="1"/>
      <c r="X92" s="1"/>
    </row>
    <row r="93">
      <c r="W93" s="1"/>
      <c r="X93" s="1"/>
    </row>
    <row r="94">
      <c r="W94" s="1"/>
      <c r="X94" s="1"/>
    </row>
    <row r="95">
      <c r="W95" s="1"/>
      <c r="X95" s="1"/>
    </row>
    <row r="96">
      <c r="W96" s="1"/>
      <c r="X96" s="1"/>
    </row>
    <row r="97">
      <c r="W97" s="1"/>
      <c r="X97" s="1"/>
    </row>
    <row r="98">
      <c r="W98" s="1"/>
      <c r="X98" s="1"/>
    </row>
    <row r="99">
      <c r="W99" s="1"/>
      <c r="X99" s="1"/>
    </row>
    <row r="100">
      <c r="W100" s="1"/>
      <c r="X100" s="1"/>
    </row>
    <row r="101">
      <c r="W101" s="1"/>
      <c r="X101" s="1"/>
    </row>
    <row r="102">
      <c r="W102" s="1"/>
      <c r="X102" s="1"/>
    </row>
    <row r="103">
      <c r="W103" s="1"/>
      <c r="X103" s="1"/>
    </row>
    <row r="104">
      <c r="W104" s="1"/>
      <c r="X104" s="1"/>
    </row>
    <row r="105">
      <c r="W105" s="1"/>
      <c r="X105" s="1"/>
    </row>
    <row r="106">
      <c r="W106" s="1"/>
      <c r="X106" s="1"/>
    </row>
    <row r="107">
      <c r="W107" s="1"/>
      <c r="X107" s="1"/>
    </row>
    <row r="108">
      <c r="W108" s="1"/>
      <c r="X108" s="1"/>
    </row>
    <row r="109">
      <c r="W109" s="1"/>
      <c r="X109" s="1"/>
    </row>
    <row r="110">
      <c r="W110" s="1"/>
      <c r="X110" s="1"/>
    </row>
    <row r="111">
      <c r="W111" s="1"/>
      <c r="X111" s="1"/>
    </row>
    <row r="112">
      <c r="W112" s="1"/>
      <c r="X112" s="1"/>
    </row>
    <row r="113">
      <c r="W113" s="1"/>
      <c r="X113" s="1"/>
    </row>
    <row r="114">
      <c r="W114" s="1"/>
      <c r="X114" s="1"/>
    </row>
    <row r="115">
      <c r="W115" s="1"/>
      <c r="X115" s="1"/>
    </row>
    <row r="116">
      <c r="W116" s="1"/>
      <c r="X116" s="1"/>
    </row>
    <row r="117">
      <c r="W117" s="1"/>
      <c r="X117" s="1"/>
    </row>
    <row r="118">
      <c r="W118" s="1"/>
      <c r="X118" s="1"/>
    </row>
    <row r="119">
      <c r="W119" s="1"/>
      <c r="X119" s="1"/>
    </row>
    <row r="120">
      <c r="W120" s="1"/>
      <c r="X120" s="1"/>
    </row>
    <row r="121">
      <c r="W121" s="1"/>
      <c r="X121" s="1"/>
    </row>
    <row r="122">
      <c r="W122" s="1"/>
      <c r="X122" s="1"/>
    </row>
    <row r="123">
      <c r="W123" s="1"/>
      <c r="X123" s="1"/>
    </row>
    <row r="124">
      <c r="W124" s="1"/>
      <c r="X124" s="1"/>
    </row>
    <row r="125">
      <c r="W125" s="1"/>
      <c r="X125" s="1"/>
    </row>
    <row r="126">
      <c r="W126" s="1"/>
      <c r="X126" s="1"/>
    </row>
    <row r="127">
      <c r="W127" s="1"/>
      <c r="X127" s="1"/>
    </row>
    <row r="128">
      <c r="W128" s="1"/>
      <c r="X128" s="1"/>
    </row>
    <row r="129">
      <c r="W129" s="1"/>
      <c r="X129" s="1"/>
    </row>
    <row r="130">
      <c r="W130" s="1"/>
      <c r="X130" s="1"/>
    </row>
    <row r="131">
      <c r="W131" s="1"/>
      <c r="X131" s="1"/>
    </row>
    <row r="132">
      <c r="W132" s="1"/>
      <c r="X132" s="1"/>
    </row>
    <row r="133">
      <c r="W133" s="1"/>
      <c r="X133" s="1"/>
    </row>
    <row r="134">
      <c r="W134" s="1"/>
      <c r="X134" s="1"/>
    </row>
    <row r="135">
      <c r="W135" s="1"/>
      <c r="X135" s="1"/>
    </row>
    <row r="136">
      <c r="W136" s="1"/>
      <c r="X136" s="1"/>
    </row>
    <row r="137">
      <c r="W137" s="1"/>
      <c r="X137" s="1"/>
    </row>
    <row r="138">
      <c r="W138" s="1"/>
      <c r="X138" s="1"/>
    </row>
    <row r="139">
      <c r="W139" s="1"/>
      <c r="X139" s="1"/>
    </row>
    <row r="140">
      <c r="W140" s="1"/>
      <c r="X140" s="1"/>
    </row>
    <row r="141">
      <c r="W141" s="1"/>
      <c r="X141" s="1"/>
    </row>
    <row r="142">
      <c r="W142" s="1"/>
      <c r="X142" s="1"/>
    </row>
    <row r="143">
      <c r="W143" s="1"/>
      <c r="X143" s="1"/>
    </row>
    <row r="144">
      <c r="W144" s="1"/>
      <c r="X144" s="1"/>
    </row>
    <row r="145">
      <c r="W145" s="1"/>
      <c r="X145" s="1"/>
    </row>
    <row r="146">
      <c r="W146" s="1"/>
      <c r="X146" s="1"/>
    </row>
    <row r="147">
      <c r="W147" s="1"/>
      <c r="X147" s="1"/>
    </row>
    <row r="148">
      <c r="W148" s="1"/>
      <c r="X148" s="1"/>
    </row>
    <row r="149">
      <c r="W149" s="1"/>
      <c r="X149" s="1"/>
    </row>
    <row r="150">
      <c r="W150" s="1"/>
      <c r="X150" s="1"/>
    </row>
    <row r="151">
      <c r="W151" s="1"/>
      <c r="X151" s="1"/>
    </row>
    <row r="152">
      <c r="W152" s="1"/>
      <c r="X152" s="1"/>
    </row>
    <row r="153">
      <c r="W153" s="1"/>
      <c r="X153" s="1"/>
    </row>
    <row r="154">
      <c r="W154" s="1"/>
      <c r="X154" s="1"/>
    </row>
    <row r="155">
      <c r="W155" s="1"/>
      <c r="X155" s="1"/>
    </row>
    <row r="156">
      <c r="W156" s="1"/>
      <c r="X156" s="1"/>
    </row>
    <row r="157">
      <c r="W157" s="1"/>
      <c r="X157" s="1"/>
    </row>
    <row r="158">
      <c r="W158" s="1"/>
      <c r="X158" s="1"/>
    </row>
    <row r="159">
      <c r="W159" s="1"/>
      <c r="X159" s="1"/>
    </row>
    <row r="160">
      <c r="W160" s="1"/>
      <c r="X160" s="1"/>
    </row>
    <row r="161">
      <c r="W161" s="1"/>
      <c r="X161" s="1"/>
    </row>
    <row r="162">
      <c r="W162" s="1"/>
      <c r="X162" s="1"/>
    </row>
    <row r="163">
      <c r="W163" s="1"/>
      <c r="X163" s="1"/>
    </row>
    <row r="164">
      <c r="W164" s="1"/>
      <c r="X164" s="1"/>
    </row>
    <row r="165">
      <c r="W165" s="1"/>
      <c r="X165" s="1"/>
    </row>
    <row r="166">
      <c r="W166" s="1"/>
      <c r="X166" s="1"/>
    </row>
    <row r="167">
      <c r="W167" s="1"/>
      <c r="X167" s="1"/>
    </row>
    <row r="168">
      <c r="W168" s="1"/>
      <c r="X168" s="1"/>
    </row>
    <row r="169">
      <c r="W169" s="1"/>
      <c r="X169" s="1"/>
    </row>
    <row r="170">
      <c r="W170" s="1"/>
      <c r="X170" s="1"/>
    </row>
    <row r="171">
      <c r="W171" s="1"/>
      <c r="X171" s="1"/>
    </row>
    <row r="172">
      <c r="W172" s="1"/>
      <c r="X172" s="1"/>
    </row>
    <row r="173">
      <c r="W173" s="1"/>
      <c r="X173" s="1"/>
    </row>
    <row r="174">
      <c r="W174" s="1"/>
      <c r="X174" s="1"/>
    </row>
    <row r="175">
      <c r="W175" s="1"/>
      <c r="X175" s="1"/>
    </row>
    <row r="176">
      <c r="W176" s="1"/>
      <c r="X176" s="1"/>
    </row>
    <row r="177">
      <c r="W177" s="1"/>
      <c r="X177" s="1"/>
    </row>
    <row r="178">
      <c r="W178" s="1"/>
      <c r="X178" s="1"/>
    </row>
    <row r="179">
      <c r="W179" s="1"/>
      <c r="X179" s="1"/>
    </row>
    <row r="180">
      <c r="W180" s="1"/>
      <c r="X180" s="1"/>
    </row>
    <row r="181">
      <c r="W181" s="1"/>
      <c r="X181" s="1"/>
    </row>
    <row r="182">
      <c r="W182" s="1"/>
      <c r="X182" s="1"/>
    </row>
    <row r="183">
      <c r="W183" s="1"/>
      <c r="X183" s="1"/>
    </row>
    <row r="184">
      <c r="W184" s="1"/>
      <c r="X184" s="1"/>
    </row>
    <row r="185">
      <c r="W185" s="1"/>
      <c r="X185" s="1"/>
    </row>
    <row r="186">
      <c r="W186" s="1"/>
      <c r="X186" s="1"/>
    </row>
    <row r="187">
      <c r="W187" s="1"/>
      <c r="X187" s="1"/>
    </row>
    <row r="188">
      <c r="W188" s="1"/>
      <c r="X188" s="1"/>
    </row>
    <row r="189">
      <c r="W189" s="1"/>
      <c r="X189" s="1"/>
    </row>
    <row r="190">
      <c r="W190" s="1"/>
      <c r="X190" s="1"/>
    </row>
    <row r="191">
      <c r="W191" s="1"/>
      <c r="X191" s="1"/>
    </row>
    <row r="192">
      <c r="W192" s="1"/>
      <c r="X192" s="1"/>
    </row>
    <row r="193">
      <c r="W193" s="1"/>
      <c r="X193" s="1"/>
    </row>
    <row r="194">
      <c r="W194" s="1"/>
      <c r="X194" s="1"/>
    </row>
    <row r="195">
      <c r="W195" s="1"/>
      <c r="X195" s="1"/>
    </row>
    <row r="196">
      <c r="W196" s="1"/>
      <c r="X196" s="1"/>
    </row>
    <row r="197">
      <c r="W197" s="1"/>
      <c r="X197" s="1"/>
    </row>
    <row r="198">
      <c r="W198" s="1"/>
      <c r="X198" s="1"/>
    </row>
    <row r="199">
      <c r="W199" s="1"/>
      <c r="X199" s="1"/>
    </row>
    <row r="200">
      <c r="W200" s="1"/>
      <c r="X200" s="1"/>
    </row>
    <row r="201">
      <c r="W201" s="1"/>
      <c r="X201" s="1"/>
    </row>
    <row r="202">
      <c r="W202" s="1"/>
      <c r="X202" s="1"/>
    </row>
    <row r="203">
      <c r="W203" s="1"/>
      <c r="X203" s="1"/>
    </row>
    <row r="204">
      <c r="W204" s="1"/>
      <c r="X204" s="1"/>
    </row>
    <row r="205">
      <c r="W205" s="1"/>
      <c r="X205" s="1"/>
    </row>
    <row r="206">
      <c r="W206" s="1"/>
      <c r="X206" s="1"/>
    </row>
    <row r="207">
      <c r="W207" s="1"/>
      <c r="X207" s="1"/>
    </row>
    <row r="208">
      <c r="W208" s="1"/>
      <c r="X208" s="1"/>
    </row>
    <row r="209">
      <c r="W209" s="1"/>
      <c r="X209" s="1"/>
    </row>
    <row r="210">
      <c r="W210" s="1"/>
      <c r="X210" s="1"/>
    </row>
    <row r="211">
      <c r="W211" s="1"/>
      <c r="X211" s="1"/>
    </row>
    <row r="212">
      <c r="W212" s="1"/>
      <c r="X212" s="1"/>
    </row>
    <row r="213">
      <c r="W213" s="1"/>
      <c r="X213" s="1"/>
    </row>
    <row r="214">
      <c r="W214" s="1"/>
      <c r="X214" s="1"/>
    </row>
    <row r="215">
      <c r="W215" s="1"/>
      <c r="X215" s="1"/>
    </row>
    <row r="216">
      <c r="W216" s="1"/>
      <c r="X216" s="1"/>
    </row>
    <row r="217">
      <c r="W217" s="1"/>
      <c r="X217" s="1"/>
    </row>
    <row r="218">
      <c r="W218" s="1"/>
      <c r="X218" s="1"/>
    </row>
    <row r="219">
      <c r="W219" s="1"/>
      <c r="X219" s="1"/>
    </row>
    <row r="220">
      <c r="W220" s="1"/>
      <c r="X220" s="1"/>
    </row>
    <row r="221">
      <c r="W221" s="1"/>
    </row>
    <row r="222">
      <c r="W222" s="1"/>
    </row>
    <row r="223">
      <c r="W223" s="1"/>
    </row>
    <row r="224">
      <c r="W224" s="1"/>
    </row>
    <row r="225">
      <c r="W225" s="1"/>
    </row>
    <row r="226">
      <c r="W226" s="1"/>
    </row>
    <row r="227">
      <c r="W227" s="1"/>
    </row>
    <row r="228">
      <c r="W228" s="1"/>
    </row>
    <row r="229">
      <c r="W229" s="1"/>
    </row>
    <row r="230">
      <c r="W230" s="1"/>
    </row>
    <row r="231">
      <c r="W231" s="1"/>
    </row>
    <row r="232">
      <c r="W232" s="1"/>
    </row>
    <row r="233">
      <c r="W233" s="1"/>
    </row>
    <row r="234">
      <c r="W234" s="1"/>
    </row>
    <row r="235">
      <c r="W235" s="1"/>
    </row>
    <row r="236">
      <c r="W236" s="1"/>
    </row>
    <row r="237">
      <c r="W237" s="1"/>
    </row>
    <row r="238">
      <c r="W238" s="1"/>
    </row>
    <row r="239">
      <c r="W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Q9">
      <formula1>"Español,English"</formula1>
    </dataValidation>
    <dataValidation type="list" allowBlank="1" showErrorMessage="1" sqref="E11:E34">
      <formula1>CSL!$CA$12:$CA$13</formula1>
    </dataValidation>
    <dataValidation type="list" allowBlank="1" showErrorMessage="1" sqref="F11:F34">
      <formula1>CSL!$AL$12:$AL$14</formula1>
    </dataValidation>
  </dataValidations>
  <printOptions/>
  <pageMargins bottom="0.75" footer="0.0" header="0.0" left="0.75" right="0.25" top="1.0"/>
  <pageSetup fitToHeight="0" paperSize="9" orientation="landscape"/>
  <drawing r:id="rId1"/>
</worksheet>
</file>