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QU" sheetId="1" r:id="rId4"/>
  </sheets>
  <definedNames/>
  <calcPr/>
</workbook>
</file>

<file path=xl/sharedStrings.xml><?xml version="1.0" encoding="utf-8"?>
<sst xmlns="http://schemas.openxmlformats.org/spreadsheetml/2006/main" count="1133" uniqueCount="702">
  <si>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</si>
  <si>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</si>
  <si>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</si>
  <si>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</si>
  <si>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</si>
  <si>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</si>
  <si>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</si>
  <si>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</si>
  <si>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</si>
  <si>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</si>
  <si>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</si>
  <si>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</si>
  <si>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</si>
  <si>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</si>
  <si>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</si>
  <si>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</si>
  <si>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</si>
  <si>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</si>
  <si>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</si>
  <si>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</si>
  <si>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</si>
  <si>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</si>
  <si>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</si>
  <si>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</si>
  <si>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</si>
  <si>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</si>
  <si>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</si>
  <si>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</si>
  <si>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</si>
  <si>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</si>
  <si>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</si>
  <si>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</si>
  <si>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</si>
  <si>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</si>
  <si>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</si>
  <si>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</si>
  <si>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</si>
  <si>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</si>
  <si>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</si>
  <si>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</si>
  <si>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</si>
  <si>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</si>
  <si>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</si>
  <si>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</si>
  <si>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</si>
  <si>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</si>
  <si>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</si>
  <si>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</si>
  <si>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</si>
  <si>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</si>
  <si>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</si>
  <si>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</si>
  <si>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</si>
  <si>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</si>
  <si>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</si>
  <si>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</si>
  <si>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</si>
  <si>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</si>
  <si>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</si>
  <si>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</si>
  <si>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</si>
  <si>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</si>
  <si>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</si>
  <si>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</si>
  <si>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</si>
  <si>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</si>
  <si>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</si>
  <si>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</si>
  <si>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</si>
  <si>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</si>
  <si>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</si>
  <si>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</si>
  <si>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</si>
  <si>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</si>
  <si>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</si>
  <si>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</si>
  <si>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</si>
  <si>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</si>
  <si>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</si>
  <si>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</si>
  <si>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</si>
  <si>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</si>
  <si>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</si>
  <si>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</si>
  <si>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</si>
  <si>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</si>
  <si>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</si>
  <si>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</si>
  <si>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</si>
  <si>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</si>
  <si>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</si>
  <si>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</si>
  <si>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</si>
  <si>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</si>
  <si>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</si>
  <si>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</si>
  <si>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</si>
  <si>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</si>
  <si>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</si>
  <si>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</si>
  <si>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</si>
  <si>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</si>
  <si>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</si>
  <si>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</si>
  <si>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</si>
  <si>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</si>
  <si>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</si>
  <si>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</si>
  <si>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</si>
  <si>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</si>
  <si>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</si>
  <si>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</si>
  <si>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</si>
  <si>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</si>
  <si>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</si>
  <si>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</si>
  <si>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</si>
  <si>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</si>
  <si>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</si>
  <si>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</si>
  <si>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</si>
  <si>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</si>
  <si>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</si>
  <si>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</si>
  <si>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</si>
  <si>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</si>
  <si>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</si>
  <si>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</si>
  <si>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</si>
  <si>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</si>
  <si>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</si>
  <si>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</si>
  <si>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</si>
  <si>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</si>
  <si>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</si>
  <si>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</si>
  <si>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</si>
  <si>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</si>
  <si>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</si>
  <si>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</si>
  <si>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</si>
  <si>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</si>
  <si>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</si>
  <si>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</si>
  <si>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</si>
  <si>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</si>
  <si>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</si>
  <si>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</si>
  <si>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</si>
  <si>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</si>
  <si>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</si>
  <si>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</si>
  <si>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</si>
  <si>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</si>
  <si>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</si>
  <si>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</si>
  <si>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</si>
  <si>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</si>
  <si>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</si>
  <si>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</si>
  <si>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</si>
  <si>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</si>
  <si>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</si>
  <si>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</si>
  <si>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</si>
  <si>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</si>
  <si>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</si>
  <si>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</si>
  <si>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</si>
  <si>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</si>
  <si>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</si>
  <si>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</si>
  <si>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</si>
  <si>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</si>
  <si>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</si>
  <si>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</si>
  <si>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</si>
  <si>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</si>
  <si>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</si>
  <si>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</si>
  <si>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</si>
  <si>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</si>
  <si>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</si>
  <si>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</si>
  <si>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</si>
  <si>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</si>
  <si>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</si>
  <si>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</si>
  <si>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</si>
  <si>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</si>
  <si>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</si>
  <si>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</si>
  <si>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</si>
  <si>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</si>
  <si>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</si>
  <si>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</si>
  <si>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</si>
  <si>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</si>
  <si>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</si>
  <si>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</si>
  <si>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</si>
  <si>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</si>
  <si>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</si>
  <si>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</si>
  <si>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</si>
  <si>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</si>
  <si>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</si>
  <si>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</si>
  <si>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</si>
  <si>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</si>
  <si>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</si>
  <si>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</si>
  <si>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</si>
  <si>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</si>
  <si>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</si>
  <si>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</si>
  <si>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</si>
  <si>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</si>
  <si>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</si>
  <si>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</si>
  <si>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</si>
  <si>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</si>
  <si>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</si>
  <si>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</si>
  <si>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</si>
  <si>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</si>
  <si>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</si>
  <si>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</si>
  <si>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</si>
  <si>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</si>
  <si>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</si>
  <si>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</si>
  <si>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</si>
  <si>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</si>
  <si>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</si>
  <si>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</si>
  <si>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</si>
  <si>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</si>
  <si>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</si>
  <si>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</si>
  <si>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</si>
  <si>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</si>
  <si>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</si>
  <si>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</si>
  <si>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</si>
  <si>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</si>
  <si>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</si>
  <si>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</si>
  <si>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</si>
  <si>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</si>
  <si>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</si>
  <si>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</si>
  <si>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</si>
  <si>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</si>
  <si>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</si>
  <si>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</si>
  <si>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</si>
  <si>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</si>
  <si>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</si>
  <si>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</si>
  <si>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</si>
  <si>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</si>
  <si>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</si>
  <si>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</si>
  <si>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</si>
  <si>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</si>
  <si>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</si>
  <si>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</si>
  <si>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</si>
  <si>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</si>
  <si>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</si>
  <si>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</si>
  <si>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</si>
  <si>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</si>
  <si>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</si>
  <si>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</si>
  <si>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</si>
  <si>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</si>
  <si>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</si>
  <si>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</si>
  <si>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</si>
  <si>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</si>
  <si>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</si>
  <si>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</si>
  <si>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</si>
  <si>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</si>
  <si>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</si>
  <si>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</si>
  <si>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</si>
  <si>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</si>
  <si>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</si>
  <si>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</si>
  <si>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</si>
  <si>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</si>
  <si>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</si>
  <si>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</si>
  <si>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</si>
  <si>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</si>
  <si>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</si>
  <si>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</si>
  <si>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</si>
  <si>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</si>
  <si>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</si>
  <si>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</si>
  <si>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</si>
  <si>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</si>
  <si>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</si>
  <si>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</si>
  <si>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</si>
  <si>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</si>
  <si>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</si>
  <si>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</si>
  <si>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</si>
  <si>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</si>
  <si>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</si>
  <si>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</si>
  <si>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</si>
  <si>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</si>
  <si>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</si>
  <si>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</si>
  <si>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</si>
  <si>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</si>
  <si>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</si>
  <si>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</si>
  <si>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</si>
  <si>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</si>
  <si>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</si>
  <si>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</si>
  <si>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</si>
  <si>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</si>
  <si>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</si>
  <si>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</si>
  <si>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</si>
  <si>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</si>
  <si>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</si>
  <si>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</si>
  <si>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</si>
  <si>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</si>
  <si>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</si>
  <si>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</si>
  <si>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</si>
  <si>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</si>
  <si>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</si>
  <si>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</si>
  <si>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</si>
  <si>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</si>
  <si>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</si>
  <si>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</si>
  <si>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</si>
  <si>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</si>
  <si>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</si>
  <si>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</si>
  <si>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</si>
  <si>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</si>
  <si>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</si>
  <si>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</si>
  <si>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</si>
  <si>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</si>
  <si>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</si>
  <si>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</si>
  <si>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</si>
  <si>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</si>
  <si>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</si>
  <si>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</si>
  <si>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</si>
  <si>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</si>
  <si>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</si>
  <si>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</si>
  <si>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</si>
  <si>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</si>
  <si>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</si>
  <si>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</si>
  <si>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</si>
  <si>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</si>
  <si>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</si>
  <si>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</si>
  <si>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</si>
  <si>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</si>
  <si>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</si>
  <si>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</si>
  <si>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</si>
  <si>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</si>
  <si>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</si>
  <si>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</si>
  <si>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</si>
  <si>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</si>
  <si>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</si>
  <si>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</si>
  <si>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</si>
  <si>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</si>
  <si>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</si>
  <si>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</si>
  <si>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</si>
  <si>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</si>
  <si>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</si>
  <si>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</si>
  <si>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</si>
  <si>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</si>
  <si>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</si>
  <si>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</si>
  <si>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</si>
  <si>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</si>
  <si>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</si>
  <si>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</si>
  <si>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</si>
  <si>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</si>
  <si>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</si>
  <si>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</si>
  <si>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</si>
  <si>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</si>
  <si>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</si>
  <si>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</si>
  <si>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</si>
  <si>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</si>
  <si>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</si>
  <si>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</si>
  <si>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</si>
  <si>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</si>
  <si>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</si>
  <si>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</si>
  <si>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</si>
  <si>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</si>
  <si>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</si>
  <si>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</si>
  <si>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</si>
  <si>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</si>
  <si>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</si>
  <si>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</si>
  <si>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</si>
  <si>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</si>
  <si>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</si>
  <si>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</si>
  <si>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</si>
  <si>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</si>
  <si>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</si>
  <si>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</si>
  <si>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</si>
  <si>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</si>
  <si>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</si>
  <si>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</si>
  <si>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</si>
  <si>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</si>
  <si>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</si>
  <si>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</si>
  <si>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</si>
  <si>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</si>
  <si>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</si>
  <si>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</si>
  <si>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</si>
  <si>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</si>
  <si>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</si>
  <si>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</si>
  <si>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</si>
  <si>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</si>
  <si>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</si>
  <si>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</si>
  <si>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</si>
  <si>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</si>
  <si>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</si>
  <si>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</si>
  <si>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</si>
  <si>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</si>
  <si>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</si>
  <si>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</si>
  <si>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</si>
  <si>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</si>
  <si>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</si>
  <si>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</si>
  <si>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</si>
  <si>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</si>
  <si>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</si>
  <si>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</si>
  <si>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</si>
  <si>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</si>
  <si>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</si>
  <si>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</si>
  <si>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</si>
  <si>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</si>
  <si>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</si>
  <si>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</si>
  <si>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</si>
  <si>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</si>
  <si>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</si>
  <si>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</si>
  <si>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</si>
  <si>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</si>
  <si>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</si>
  <si>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</si>
  <si>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</si>
  <si>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</si>
  <si>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</si>
  <si>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</si>
  <si>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</si>
  <si>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</si>
  <si>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</si>
  <si>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</si>
  <si>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</si>
  <si>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</si>
  <si>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</si>
  <si>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</si>
  <si>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</si>
  <si>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</si>
  <si>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</si>
  <si>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</si>
  <si>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</si>
  <si>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ID de Caballo</t>
  </si>
  <si>
    <t>Raza</t>
  </si>
  <si>
    <t>Color</t>
  </si>
  <si>
    <t>País de Nacimiento</t>
  </si>
  <si>
    <t>Caballerango</t>
  </si>
  <si>
    <t>Nombre del caballo</t>
  </si>
  <si>
    <t>Organización</t>
  </si>
  <si>
    <t>1° Dueño</t>
  </si>
  <si>
    <t>2° Dueño</t>
  </si>
  <si>
    <t>Pasaporte (N° ID FEI)</t>
  </si>
  <si>
    <t>Reservas</t>
  </si>
  <si>
    <t>Género</t>
  </si>
  <si>
    <t>Padre</t>
  </si>
  <si>
    <t>Año de Nacimiento</t>
  </si>
  <si>
    <t>Disciplina</t>
  </si>
  <si>
    <t>Información del Caballo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</si>
  <si>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</si>
  <si>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</si>
  <si>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</si>
  <si>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</si>
  <si>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</si>
  <si>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</si>
  <si>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</si>
  <si>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</si>
  <si>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</si>
  <si>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</si>
  <si>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</si>
  <si>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</si>
  <si>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</si>
  <si>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</si>
  <si>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</si>
  <si>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</si>
  <si>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</si>
  <si>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</si>
  <si>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</si>
  <si>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</si>
  <si>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</si>
  <si>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</si>
  <si>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</si>
  <si>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</si>
  <si>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</si>
  <si>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</si>
  <si>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</si>
  <si>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</si>
  <si>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</si>
  <si>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</si>
  <si>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Horse ID</t>
  </si>
  <si>
    <t>Breed</t>
  </si>
  <si>
    <t>Colour</t>
  </si>
  <si>
    <t>Birth Country</t>
  </si>
  <si>
    <t>Groom</t>
  </si>
  <si>
    <t>Name of the horse</t>
  </si>
  <si>
    <t>Organisation</t>
  </si>
  <si>
    <t>1st Owner</t>
  </si>
  <si>
    <t>2nd Owner</t>
  </si>
  <si>
    <t>Passport (FEI ID N°)</t>
  </si>
  <si>
    <t>Reserve</t>
  </si>
  <si>
    <t>Sex</t>
  </si>
  <si>
    <t>Sire</t>
  </si>
  <si>
    <t>Year of Birth</t>
  </si>
  <si>
    <t>Discipline</t>
  </si>
  <si>
    <t>Horse Information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</si>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</sst>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3" fillId="3" fontId="15" numFmtId="0" xfId="0" applyAlignment="1" applyBorder="1" applyFill="1" applyFont="1">
      <alignment horizontal="center" shrinkToFit="0" wrapText="1"/>
    </xf>
    <xf borderId="3" fillId="3" fontId="15" numFmtId="0" xfId="0" applyAlignment="1" applyBorder="1" applyFont="1">
      <alignment horizontal="center" shrinkToFit="0" vertical="center" wrapText="1"/>
    </xf>
    <xf borderId="3" fillId="4" fontId="15" numFmtId="0" xfId="0" applyAlignment="1" applyBorder="1" applyFill="1" applyFont="1">
      <alignment horizontal="center" shrinkToFit="0" vertical="center" wrapText="1"/>
    </xf>
    <xf borderId="4" fillId="4" fontId="15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6" fillId="0" fontId="11" numFmtId="0" xfId="0" applyBorder="1" applyFont="1"/>
    <xf borderId="0" fillId="0" fontId="16" numFmtId="0" xfId="0" applyAlignment="1" applyFont="1">
      <alignment vertical="center"/>
    </xf>
    <xf borderId="2" fillId="5" fontId="4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right" vertical="center"/>
    </xf>
    <xf borderId="7" fillId="5" fontId="4" numFmtId="0" xfId="0" applyAlignment="1" applyBorder="1" applyFont="1">
      <alignment horizontal="right" vertical="center"/>
    </xf>
    <xf borderId="7" fillId="0" fontId="11" numFmtId="0" xfId="0" applyBorder="1" applyFont="1"/>
    <xf borderId="8" fillId="0" fontId="11" numFmtId="0" xfId="0" applyBorder="1" applyFont="1"/>
    <xf borderId="0" fillId="5" fontId="3" numFmtId="0" xfId="0" applyFont="1"/>
    <xf borderId="2" fillId="6" fontId="4" numFmtId="0" xfId="0" applyAlignment="1" applyBorder="1" applyFill="1" applyFont="1">
      <alignment horizontal="right" vertical="center"/>
    </xf>
    <xf borderId="7" fillId="6" fontId="4" numFmtId="0" xfId="0" applyAlignment="1" applyBorder="1" applyFont="1">
      <alignment horizontal="right" vertical="center"/>
    </xf>
    <xf borderId="2" fillId="7" fontId="4" numFmtId="0" xfId="0" applyAlignment="1" applyBorder="1" applyFill="1" applyFont="1">
      <alignment horizontal="center" readingOrder="0" vertical="center"/>
    </xf>
    <xf borderId="2" fillId="7" fontId="4" numFmtId="0" xfId="0" applyAlignment="1" applyBorder="1" applyFont="1">
      <alignment horizontal="left" vertical="center"/>
    </xf>
    <xf borderId="2" fillId="7" fontId="4" numFmtId="0" xfId="0" applyAlignment="1" applyBorder="1" applyFont="1">
      <alignment horizontal="center" vertical="center"/>
    </xf>
    <xf borderId="0" fillId="7" fontId="3" numFmtId="0" xfId="0" applyFont="1"/>
    <xf borderId="2" fillId="5" fontId="4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Relationship Id="rId3" Type="http://schemas.openxmlformats.org/officeDocument/2006/relationships/image" Target="../media/image5.png"/><Relationship Id="rId4" Type="http://schemas.openxmlformats.org/officeDocument/2006/relationships/image" Target="../media/image4.png"/><Relationship Id="rId5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495300</xdr:colOff>
      <xdr:row>0</xdr:row>
      <xdr:rowOff>161925</xdr:rowOff>
    </xdr:from>
    <xdr:ext cx="1905000" cy="1085850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190500</xdr:colOff>
      <xdr:row>0</xdr:row>
      <xdr:rowOff>161925</xdr:rowOff>
    </xdr:from>
    <xdr:ext cx="1209675" cy="1085850"/>
    <xdr:grpSp>
      <xdr:nvGrpSpPr>
        <xdr:cNvPr id="2" name="Shape 2" title="Dibujo"/>
        <xdr:cNvGrpSpPr/>
      </xdr:nvGrpSpPr>
      <xdr:grpSpPr>
        <a:xfrm>
          <a:off x="4741163" y="3237075"/>
          <a:ext cx="1209675" cy="1085850"/>
          <a:chOff x="4741163" y="3237075"/>
          <a:chExt cx="1209675" cy="1085850"/>
        </a:xfrm>
      </xdr:grpSpPr>
      <xdr:grpSp>
        <xdr:nvGrpSpPr>
          <xdr:cNvPr id="9" name="Shape 9"/>
          <xdr:cNvGrpSpPr/>
        </xdr:nvGrpSpPr>
        <xdr:grpSpPr>
          <a:xfrm>
            <a:off x="4741163" y="3237075"/>
            <a:ext cx="1209675" cy="1085850"/>
            <a:chOff x="120015" y="95250"/>
            <a:chExt cx="1428750" cy="1266825"/>
          </a:xfrm>
        </xdr:grpSpPr>
        <xdr:sp>
          <xdr:nvSpPr>
            <xdr:cNvPr id="4" name="Shape 4"/>
            <xdr:cNvSpPr/>
          </xdr:nvSpPr>
          <xdr:spPr>
            <a:xfrm>
              <a:off x="120015" y="95250"/>
              <a:ext cx="142875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10" name="Shape 10" title="Imagen"/>
            <xdr:cNvPicPr preferRelativeResize="0"/>
          </xdr:nvPicPr>
          <xdr:blipFill rotWithShape="1">
            <a:blip r:embed="rId3">
              <a:alphaModFix/>
            </a:blip>
            <a:srcRect b="0" l="0" r="0" t="0"/>
            <a:stretch/>
          </xdr:blipFill>
          <xdr:spPr>
            <a:xfrm>
              <a:off x="120015" y="152400"/>
              <a:ext cx="762000" cy="77152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Shape 11" title="Imagen"/>
            <xdr:cNvPicPr preferRelativeResize="0"/>
          </xdr:nvPicPr>
          <xdr:blipFill rotWithShape="1">
            <a:blip r:embed="rId4">
              <a:alphaModFix/>
            </a:blip>
            <a:srcRect b="0" l="0" r="0" t="0"/>
            <a:stretch/>
          </xdr:blipFill>
          <xdr:spPr>
            <a:xfrm>
              <a:off x="434340" y="647700"/>
              <a:ext cx="762000" cy="7143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2" name="Shape 12" title="Imagen"/>
            <xdr:cNvPicPr preferRelativeResize="0"/>
          </xdr:nvPicPr>
          <xdr:blipFill rotWithShape="1">
            <a:blip r:embed="rId5">
              <a:alphaModFix/>
            </a:blip>
            <a:srcRect b="0" l="0" r="0" t="0"/>
            <a:stretch/>
          </xdr:blipFill>
          <xdr:spPr>
            <a:xfrm>
              <a:off x="786765" y="95250"/>
              <a:ext cx="762000" cy="77152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28.0"/>
    <col customWidth="1" min="4" max="4" width="21.38"/>
    <col customWidth="1" min="5" max="5" width="7.75"/>
    <col customWidth="1" min="6" max="6" width="10.63"/>
    <col customWidth="1" min="7" max="7" width="11.63"/>
    <col customWidth="1" min="8" max="8" width="16.63"/>
    <col customWidth="1" min="9" max="9" width="13.0"/>
    <col customWidth="1" min="10" max="10" width="15.75"/>
    <col customWidth="1" min="11" max="12" width="13.0"/>
    <col customWidth="1" hidden="1" min="13" max="13" width="16.13"/>
    <col customWidth="1" hidden="1" min="14" max="14" width="13.0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4"/>
      <c r="I1" s="4"/>
      <c r="J1" s="4"/>
      <c r="K1" s="1"/>
      <c r="L1" s="4"/>
      <c r="M1" s="4"/>
      <c r="N1" s="4"/>
      <c r="O1" s="4"/>
      <c r="P1" s="4"/>
      <c r="Q1" s="4"/>
      <c r="R1" s="4"/>
      <c r="S1" s="1"/>
      <c r="T1" s="1"/>
      <c r="U1" s="1"/>
      <c r="V1" s="1"/>
      <c r="W1" s="5">
        <v>1.0</v>
      </c>
      <c r="X1" s="6">
        <v>2.0</v>
      </c>
      <c r="Y1" s="6">
        <v>3.0</v>
      </c>
      <c r="Z1" s="5">
        <v>4.0</v>
      </c>
      <c r="AA1" s="6">
        <v>5.0</v>
      </c>
      <c r="AB1" s="6">
        <v>6.0</v>
      </c>
      <c r="AC1" s="5">
        <v>7.0</v>
      </c>
      <c r="AD1" s="6">
        <v>8.0</v>
      </c>
      <c r="AE1" s="6">
        <v>9.0</v>
      </c>
      <c r="AF1" s="5">
        <v>10.0</v>
      </c>
      <c r="AG1" s="6">
        <v>11.0</v>
      </c>
      <c r="AH1" s="6">
        <v>12.0</v>
      </c>
      <c r="AI1" s="5">
        <v>13.0</v>
      </c>
      <c r="AJ1" s="6">
        <v>14.0</v>
      </c>
      <c r="AK1" s="6">
        <v>15.0</v>
      </c>
      <c r="AL1" s="5">
        <v>16.0</v>
      </c>
      <c r="AM1" s="6">
        <v>17.0</v>
      </c>
      <c r="AN1" s="6">
        <v>18.0</v>
      </c>
      <c r="AO1" s="5">
        <v>19.0</v>
      </c>
      <c r="AP1" s="6">
        <v>20.0</v>
      </c>
      <c r="AQ1" s="6">
        <v>21.0</v>
      </c>
      <c r="AR1" s="5">
        <v>22.0</v>
      </c>
      <c r="AS1" s="6">
        <v>23.0</v>
      </c>
      <c r="AT1" s="6">
        <v>24.0</v>
      </c>
      <c r="AU1" s="5">
        <v>25.0</v>
      </c>
      <c r="AV1" s="6">
        <v>26.0</v>
      </c>
      <c r="AW1" s="6">
        <v>27.0</v>
      </c>
      <c r="AX1" s="5">
        <v>28.0</v>
      </c>
      <c r="AY1" s="6">
        <v>29.0</v>
      </c>
      <c r="AZ1" s="6">
        <v>30.0</v>
      </c>
      <c r="BA1" s="5">
        <v>31.0</v>
      </c>
      <c r="BB1" s="6">
        <v>32.0</v>
      </c>
      <c r="BC1" s="6">
        <v>33.0</v>
      </c>
      <c r="BD1" s="5">
        <v>34.0</v>
      </c>
      <c r="BE1" s="6">
        <v>35.0</v>
      </c>
      <c r="BF1" s="6">
        <v>36.0</v>
      </c>
      <c r="BG1" s="5">
        <v>37.0</v>
      </c>
      <c r="BH1" s="6">
        <v>38.0</v>
      </c>
      <c r="BI1" s="6">
        <v>39.0</v>
      </c>
      <c r="BJ1" s="5">
        <v>40.0</v>
      </c>
      <c r="BK1" s="6">
        <v>41.0</v>
      </c>
      <c r="BL1" s="6">
        <v>42.0</v>
      </c>
      <c r="BM1" s="5">
        <v>43.0</v>
      </c>
      <c r="BN1" s="6">
        <v>44.0</v>
      </c>
      <c r="BO1" s="6">
        <v>45.0</v>
      </c>
      <c r="BP1" s="5">
        <v>46.0</v>
      </c>
      <c r="BQ1" s="6">
        <v>47.0</v>
      </c>
      <c r="BR1" s="6">
        <v>48.0</v>
      </c>
      <c r="BS1" s="5">
        <v>49.0</v>
      </c>
      <c r="BT1" s="6">
        <v>50.0</v>
      </c>
      <c r="BU1" s="6">
        <v>51.0</v>
      </c>
      <c r="BV1" s="5">
        <v>52.0</v>
      </c>
      <c r="BW1" s="6">
        <v>53.0</v>
      </c>
      <c r="BX1" s="6">
        <v>54.0</v>
      </c>
      <c r="BY1" s="5">
        <v>55.0</v>
      </c>
      <c r="BZ1" s="6">
        <v>56.0</v>
      </c>
      <c r="CA1" s="6">
        <v>57.0</v>
      </c>
      <c r="CB1" s="5">
        <v>58.0</v>
      </c>
      <c r="CC1" s="6">
        <v>59.0</v>
      </c>
      <c r="CD1" s="6">
        <v>60.0</v>
      </c>
      <c r="CE1" s="5">
        <v>61.0</v>
      </c>
      <c r="CF1" s="6">
        <v>62.0</v>
      </c>
      <c r="CG1" s="6">
        <v>63.0</v>
      </c>
      <c r="CH1" s="5">
        <v>64.0</v>
      </c>
      <c r="CI1" s="6">
        <v>65.0</v>
      </c>
      <c r="CJ1" s="6">
        <v>66.0</v>
      </c>
      <c r="CK1" s="5">
        <v>67.0</v>
      </c>
      <c r="CL1" s="6">
        <v>68.0</v>
      </c>
      <c r="CM1" s="6">
        <v>69.0</v>
      </c>
      <c r="CN1" s="5">
        <v>70.0</v>
      </c>
      <c r="CO1" s="6">
        <v>71.0</v>
      </c>
      <c r="CP1" s="6">
        <v>72.0</v>
      </c>
      <c r="CQ1" s="5">
        <v>73.0</v>
      </c>
      <c r="CR1" s="6">
        <v>74.0</v>
      </c>
      <c r="CS1" s="6">
        <v>75.0</v>
      </c>
      <c r="CT1" s="5">
        <v>76.0</v>
      </c>
      <c r="CU1" s="6">
        <v>77.0</v>
      </c>
      <c r="CV1" s="6">
        <v>78.0</v>
      </c>
      <c r="CW1" s="5">
        <v>79.0</v>
      </c>
      <c r="CX1" s="6">
        <v>80.0</v>
      </c>
      <c r="CY1" s="6">
        <v>81.0</v>
      </c>
      <c r="CZ1" s="5">
        <v>82.0</v>
      </c>
      <c r="DA1" s="6">
        <v>83.0</v>
      </c>
      <c r="DB1" s="6">
        <v>84.0</v>
      </c>
      <c r="DC1" s="5">
        <v>85.0</v>
      </c>
      <c r="DD1" s="6">
        <v>86.0</v>
      </c>
      <c r="DE1" s="6">
        <v>87.0</v>
      </c>
      <c r="DF1" s="5">
        <v>88.0</v>
      </c>
      <c r="DG1" s="6">
        <v>89.0</v>
      </c>
      <c r="DH1" s="6">
        <v>90.0</v>
      </c>
      <c r="DI1" s="5">
        <v>91.0</v>
      </c>
      <c r="DJ1" s="6">
        <v>92.0</v>
      </c>
      <c r="DK1" s="6">
        <v>93.0</v>
      </c>
      <c r="DL1" s="5">
        <v>94.0</v>
      </c>
      <c r="DM1" s="6">
        <v>95.0</v>
      </c>
      <c r="DN1" s="6">
        <v>96.0</v>
      </c>
      <c r="DO1" s="5">
        <v>97.0</v>
      </c>
      <c r="DP1" s="6">
        <v>98.0</v>
      </c>
      <c r="DQ1" s="6">
        <v>99.0</v>
      </c>
      <c r="DR1" s="5">
        <v>100.0</v>
      </c>
      <c r="DS1" s="6">
        <v>101.0</v>
      </c>
      <c r="DT1" s="6">
        <v>102.0</v>
      </c>
      <c r="DU1" s="5">
        <v>103.0</v>
      </c>
      <c r="DV1" s="6">
        <v>104.0</v>
      </c>
      <c r="DW1" s="6">
        <v>105.0</v>
      </c>
      <c r="DX1" s="5">
        <v>106.0</v>
      </c>
      <c r="DY1" s="6">
        <v>107.0</v>
      </c>
      <c r="DZ1" s="6">
        <v>108.0</v>
      </c>
      <c r="EA1" s="5">
        <v>109.0</v>
      </c>
      <c r="EB1" s="6">
        <v>110.0</v>
      </c>
      <c r="EC1" s="6">
        <v>111.0</v>
      </c>
      <c r="ED1" s="5">
        <v>112.0</v>
      </c>
      <c r="EE1" s="6">
        <v>113.0</v>
      </c>
      <c r="EF1" s="6">
        <v>114.0</v>
      </c>
      <c r="EG1" s="5">
        <v>115.0</v>
      </c>
      <c r="EH1" s="6">
        <v>116.0</v>
      </c>
      <c r="EI1" s="6">
        <v>117.0</v>
      </c>
      <c r="EJ1" s="5">
        <v>118.0</v>
      </c>
      <c r="EK1" s="6">
        <v>119.0</v>
      </c>
      <c r="EL1" s="6">
        <v>120.0</v>
      </c>
      <c r="EM1" s="5">
        <v>121.0</v>
      </c>
      <c r="EN1" s="6">
        <v>122.0</v>
      </c>
      <c r="EO1" s="6">
        <v>123.0</v>
      </c>
      <c r="EP1" s="5">
        <v>124.0</v>
      </c>
      <c r="EQ1" s="6">
        <v>125.0</v>
      </c>
      <c r="ER1" s="6">
        <v>126.0</v>
      </c>
      <c r="ES1" s="5">
        <v>127.0</v>
      </c>
      <c r="ET1" s="6">
        <v>128.0</v>
      </c>
      <c r="EU1" s="6">
        <v>129.0</v>
      </c>
      <c r="EV1" s="5">
        <v>130.0</v>
      </c>
      <c r="EW1" s="6">
        <v>131.0</v>
      </c>
      <c r="EX1" s="6">
        <v>132.0</v>
      </c>
      <c r="EY1" s="5">
        <v>133.0</v>
      </c>
      <c r="EZ1" s="6">
        <v>134.0</v>
      </c>
      <c r="FA1" s="6">
        <v>135.0</v>
      </c>
      <c r="FB1" s="5">
        <v>136.0</v>
      </c>
      <c r="FC1" s="6">
        <v>137.0</v>
      </c>
      <c r="FD1" s="6">
        <v>138.0</v>
      </c>
      <c r="FE1" s="5">
        <v>139.0</v>
      </c>
      <c r="FF1" s="6">
        <v>140.0</v>
      </c>
      <c r="FG1" s="6">
        <v>141.0</v>
      </c>
      <c r="FH1" s="5">
        <v>142.0</v>
      </c>
      <c r="FI1" s="6">
        <v>143.0</v>
      </c>
      <c r="FJ1" s="6">
        <v>144.0</v>
      </c>
      <c r="FK1" s="5">
        <v>145.0</v>
      </c>
      <c r="FL1" s="6">
        <v>146.0</v>
      </c>
      <c r="FM1" s="6">
        <v>147.0</v>
      </c>
      <c r="FN1" s="5">
        <v>148.0</v>
      </c>
      <c r="FO1" s="6">
        <v>149.0</v>
      </c>
      <c r="FP1" s="6">
        <v>150.0</v>
      </c>
      <c r="FQ1" s="5">
        <v>151.0</v>
      </c>
      <c r="FR1" s="6">
        <v>152.0</v>
      </c>
      <c r="FS1" s="6">
        <v>153.0</v>
      </c>
      <c r="FT1" s="5">
        <v>154.0</v>
      </c>
      <c r="FU1" s="6">
        <v>155.0</v>
      </c>
      <c r="FV1" s="6">
        <v>156.0</v>
      </c>
      <c r="FW1" s="5">
        <v>157.0</v>
      </c>
      <c r="FX1" s="6">
        <v>158.0</v>
      </c>
      <c r="FY1" s="6">
        <v>159.0</v>
      </c>
      <c r="FZ1" s="5">
        <v>160.0</v>
      </c>
      <c r="GA1" s="6">
        <v>161.0</v>
      </c>
      <c r="GB1" s="6">
        <v>162.0</v>
      </c>
      <c r="GC1" s="5">
        <v>163.0</v>
      </c>
      <c r="GD1" s="6">
        <v>164.0</v>
      </c>
      <c r="GE1" s="6">
        <v>165.0</v>
      </c>
      <c r="GF1" s="5">
        <v>166.0</v>
      </c>
      <c r="GG1" s="6">
        <v>167.0</v>
      </c>
      <c r="GH1" s="6">
        <v>168.0</v>
      </c>
      <c r="GI1" s="5">
        <v>169.0</v>
      </c>
      <c r="GJ1" s="6">
        <v>170.0</v>
      </c>
      <c r="GK1" s="6">
        <v>171.0</v>
      </c>
      <c r="GL1" s="5">
        <v>172.0</v>
      </c>
      <c r="GM1" s="6">
        <v>173.0</v>
      </c>
      <c r="GN1" s="6">
        <v>174.0</v>
      </c>
      <c r="GO1" s="5">
        <v>175.0</v>
      </c>
      <c r="GP1" s="6">
        <v>176.0</v>
      </c>
      <c r="GQ1" s="6">
        <v>177.0</v>
      </c>
      <c r="GR1" s="5">
        <v>178.0</v>
      </c>
      <c r="GS1" s="6">
        <v>179.0</v>
      </c>
      <c r="GT1" s="6">
        <v>180.0</v>
      </c>
      <c r="GU1" s="5">
        <v>181.0</v>
      </c>
      <c r="GV1" s="6">
        <v>182.0</v>
      </c>
      <c r="GW1" s="6">
        <v>183.0</v>
      </c>
      <c r="GX1" s="5">
        <v>184.0</v>
      </c>
      <c r="GY1" s="6">
        <v>185.0</v>
      </c>
      <c r="GZ1" s="6">
        <v>186.0</v>
      </c>
      <c r="HA1" s="5">
        <v>187.0</v>
      </c>
      <c r="HB1" s="6">
        <v>188.0</v>
      </c>
      <c r="HC1" s="6">
        <v>189.0</v>
      </c>
      <c r="HD1" s="5">
        <v>190.0</v>
      </c>
      <c r="HE1" s="6">
        <v>191.0</v>
      </c>
      <c r="HF1" s="6">
        <v>192.0</v>
      </c>
      <c r="HG1" s="5">
        <v>193.0</v>
      </c>
      <c r="HH1" s="6">
        <v>194.0</v>
      </c>
      <c r="HI1" s="6">
        <v>195.0</v>
      </c>
      <c r="HJ1" s="5">
        <v>196.0</v>
      </c>
      <c r="HK1" s="6">
        <v>197.0</v>
      </c>
      <c r="HL1" s="6">
        <v>198.0</v>
      </c>
      <c r="HM1" s="5">
        <v>199.0</v>
      </c>
      <c r="HN1" s="6">
        <v>200.0</v>
      </c>
      <c r="HO1" s="6">
        <v>201.0</v>
      </c>
      <c r="HP1" s="5">
        <v>202.0</v>
      </c>
      <c r="HQ1" s="6">
        <v>203.0</v>
      </c>
      <c r="HR1" s="6">
        <v>204.0</v>
      </c>
      <c r="HS1" s="5">
        <v>205.0</v>
      </c>
      <c r="HT1" s="6">
        <v>206.0</v>
      </c>
      <c r="HU1" s="6">
        <v>207.0</v>
      </c>
      <c r="HV1" s="5">
        <v>208.0</v>
      </c>
      <c r="HW1" s="6">
        <v>209.0</v>
      </c>
      <c r="HX1" s="6">
        <v>210.0</v>
      </c>
      <c r="HY1" s="5">
        <v>211.0</v>
      </c>
      <c r="HZ1" s="6">
        <v>212.0</v>
      </c>
      <c r="IA1" s="6">
        <v>213.0</v>
      </c>
      <c r="IB1" s="5">
        <v>214.0</v>
      </c>
      <c r="IC1" s="6">
        <v>215.0</v>
      </c>
      <c r="ID1" s="6">
        <v>216.0</v>
      </c>
      <c r="IE1" s="5">
        <v>217.0</v>
      </c>
      <c r="IF1" s="6">
        <v>218.0</v>
      </c>
      <c r="IG1" s="6">
        <v>219.0</v>
      </c>
      <c r="IH1" s="5">
        <v>220.0</v>
      </c>
      <c r="II1" s="6">
        <v>221.0</v>
      </c>
      <c r="IJ1" s="6">
        <v>222.0</v>
      </c>
      <c r="IK1" s="5">
        <v>223.0</v>
      </c>
      <c r="IL1" s="6">
        <v>224.0</v>
      </c>
      <c r="IM1" s="6">
        <v>225.0</v>
      </c>
      <c r="IN1" s="5">
        <v>226.0</v>
      </c>
      <c r="IO1" s="6">
        <v>227.0</v>
      </c>
      <c r="IP1" s="6">
        <v>228.0</v>
      </c>
      <c r="IQ1" s="5">
        <v>229.0</v>
      </c>
      <c r="IR1" s="6">
        <v>230.0</v>
      </c>
      <c r="IS1" s="6">
        <v>231.0</v>
      </c>
      <c r="IT1" s="5">
        <v>232.0</v>
      </c>
      <c r="IU1" s="6">
        <v>233.0</v>
      </c>
      <c r="IV1" s="6">
        <v>234.0</v>
      </c>
      <c r="IW1" s="5">
        <v>235.0</v>
      </c>
      <c r="IX1" s="6">
        <v>236.0</v>
      </c>
      <c r="IY1" s="6">
        <v>237.0</v>
      </c>
      <c r="IZ1" s="5">
        <v>238.0</v>
      </c>
      <c r="JA1" s="6">
        <v>239.0</v>
      </c>
      <c r="JB1" s="6">
        <v>240.0</v>
      </c>
      <c r="JC1" s="5">
        <v>241.0</v>
      </c>
      <c r="JD1" s="6">
        <v>242.0</v>
      </c>
      <c r="JE1" s="6">
        <v>243.0</v>
      </c>
      <c r="JF1" s="5">
        <v>244.0</v>
      </c>
      <c r="JG1" s="6">
        <v>245.0</v>
      </c>
      <c r="JH1" s="6">
        <v>246.0</v>
      </c>
      <c r="JI1" s="5">
        <v>247.0</v>
      </c>
      <c r="JJ1" s="6">
        <v>248.0</v>
      </c>
      <c r="JK1" s="6">
        <v>249.0</v>
      </c>
      <c r="JL1" s="5">
        <v>250.0</v>
      </c>
      <c r="JM1" s="6">
        <v>251.0</v>
      </c>
      <c r="JN1" s="6">
        <v>252.0</v>
      </c>
      <c r="JO1" s="5">
        <v>253.0</v>
      </c>
      <c r="JP1" s="6">
        <v>254.0</v>
      </c>
      <c r="JQ1" s="6">
        <v>255.0</v>
      </c>
      <c r="JR1" s="5">
        <v>256.0</v>
      </c>
      <c r="JS1" s="6">
        <v>257.0</v>
      </c>
      <c r="JT1" s="6">
        <v>258.0</v>
      </c>
      <c r="JU1" s="5">
        <v>259.0</v>
      </c>
      <c r="JV1" s="6">
        <v>260.0</v>
      </c>
      <c r="JW1" s="6">
        <v>261.0</v>
      </c>
      <c r="JX1" s="5">
        <v>262.0</v>
      </c>
      <c r="JY1" s="6">
        <v>263.0</v>
      </c>
      <c r="JZ1" s="6">
        <v>264.0</v>
      </c>
      <c r="KA1" s="5">
        <v>265.0</v>
      </c>
      <c r="KB1" s="6">
        <v>266.0</v>
      </c>
      <c r="KC1" s="6">
        <v>267.0</v>
      </c>
      <c r="KD1" s="5">
        <v>268.0</v>
      </c>
      <c r="KE1" s="6">
        <v>269.0</v>
      </c>
      <c r="KF1" s="6">
        <v>270.0</v>
      </c>
      <c r="KG1" s="5">
        <v>271.0</v>
      </c>
      <c r="KH1" s="6">
        <v>272.0</v>
      </c>
      <c r="KI1" s="6">
        <v>273.0</v>
      </c>
      <c r="KJ1" s="5">
        <v>274.0</v>
      </c>
      <c r="KK1" s="6">
        <v>275.0</v>
      </c>
      <c r="KL1" s="6">
        <v>276.0</v>
      </c>
      <c r="KM1" s="5">
        <v>277.0</v>
      </c>
      <c r="KN1" s="6">
        <v>278.0</v>
      </c>
      <c r="KO1" s="6">
        <v>279.0</v>
      </c>
      <c r="KP1" s="5">
        <v>280.0</v>
      </c>
      <c r="KQ1" s="6">
        <v>281.0</v>
      </c>
      <c r="KR1" s="6">
        <v>282.0</v>
      </c>
      <c r="KS1" s="5">
        <v>283.0</v>
      </c>
      <c r="KT1" s="6">
        <v>284.0</v>
      </c>
      <c r="KU1" s="6">
        <v>285.0</v>
      </c>
      <c r="KV1" s="5">
        <v>286.0</v>
      </c>
      <c r="KW1" s="5">
        <v>287.0</v>
      </c>
      <c r="KX1" s="5">
        <v>288.0</v>
      </c>
    </row>
    <row r="2" ht="13.5" customHeight="1">
      <c r="A2" s="7"/>
      <c r="B2" s="8"/>
      <c r="C2" s="8"/>
      <c r="D2" s="7" t="s">
        <v>0</v>
      </c>
      <c r="E2" s="9"/>
      <c r="F2" s="9"/>
      <c r="G2" s="9"/>
      <c r="H2" s="4"/>
      <c r="I2" s="4"/>
      <c r="J2" s="4"/>
      <c r="K2" s="7"/>
      <c r="L2" s="4"/>
      <c r="M2" s="4"/>
      <c r="N2" s="4"/>
      <c r="O2" s="4"/>
      <c r="P2" s="4"/>
      <c r="Q2" s="4"/>
      <c r="R2" s="4"/>
      <c r="S2" s="7"/>
      <c r="T2" s="7"/>
      <c r="U2" s="7"/>
      <c r="V2" s="7"/>
      <c r="W2" s="7"/>
      <c r="X2" s="7" t="s">
        <v>1</v>
      </c>
      <c r="Y2" s="7" t="s">
        <v>1</v>
      </c>
      <c r="Z2" s="7" t="s">
        <v>1</v>
      </c>
      <c r="AA2" s="7" t="s">
        <v>1</v>
      </c>
      <c r="AB2" s="7" t="s">
        <v>1</v>
      </c>
      <c r="AC2" s="7" t="s">
        <v>2</v>
      </c>
      <c r="AD2" s="7" t="s">
        <v>2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2</v>
      </c>
      <c r="AV2" s="7" t="s">
        <v>3</v>
      </c>
      <c r="AW2" s="7" t="s">
        <v>3</v>
      </c>
      <c r="AX2" s="7" t="s">
        <v>4</v>
      </c>
      <c r="AY2" s="7" t="s">
        <v>5</v>
      </c>
      <c r="AZ2" s="7" t="s">
        <v>6</v>
      </c>
      <c r="BA2" s="7" t="s">
        <v>6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6</v>
      </c>
      <c r="BZ2" s="7" t="s">
        <v>7</v>
      </c>
      <c r="CA2" s="7" t="s">
        <v>7</v>
      </c>
      <c r="CB2" s="7" t="s">
        <v>7</v>
      </c>
      <c r="CC2" s="7" t="s">
        <v>8</v>
      </c>
      <c r="CD2" s="7" t="s">
        <v>9</v>
      </c>
      <c r="CE2" s="7" t="s">
        <v>10</v>
      </c>
      <c r="CF2" s="7" t="s">
        <v>11</v>
      </c>
      <c r="CG2" s="7" t="s">
        <v>12</v>
      </c>
      <c r="CH2" s="7" t="s">
        <v>13</v>
      </c>
      <c r="CI2" s="7" t="s">
        <v>13</v>
      </c>
      <c r="CJ2" s="7" t="s">
        <v>14</v>
      </c>
      <c r="CK2" s="7" t="s">
        <v>14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14</v>
      </c>
      <c r="CW2" s="7" t="s">
        <v>15</v>
      </c>
      <c r="CX2" s="7" t="s">
        <v>16</v>
      </c>
      <c r="CY2" s="7" t="s">
        <v>16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16</v>
      </c>
      <c r="DH2" s="7" t="s">
        <v>17</v>
      </c>
      <c r="DI2" s="7" t="s">
        <v>17</v>
      </c>
      <c r="DJ2" s="7" t="s">
        <v>17</v>
      </c>
      <c r="DK2" s="7" t="s">
        <v>18</v>
      </c>
      <c r="DL2" s="7" t="s">
        <v>19</v>
      </c>
      <c r="DM2" s="7" t="s">
        <v>20</v>
      </c>
      <c r="DN2" s="7" t="s">
        <v>21</v>
      </c>
      <c r="DO2" s="7" t="s">
        <v>21</v>
      </c>
      <c r="DP2" s="7" t="s">
        <v>22</v>
      </c>
      <c r="DQ2" s="7" t="s">
        <v>22</v>
      </c>
      <c r="DR2" s="7" t="s">
        <v>22</v>
      </c>
      <c r="DS2" s="7" t="s">
        <v>22</v>
      </c>
      <c r="DT2" s="7" t="s">
        <v>22</v>
      </c>
      <c r="DU2" s="7" t="s">
        <v>22</v>
      </c>
      <c r="DV2" s="7" t="s">
        <v>23</v>
      </c>
      <c r="DW2" s="7" t="s">
        <v>23</v>
      </c>
      <c r="DX2" s="7" t="s">
        <v>24</v>
      </c>
      <c r="DY2" s="7" t="s">
        <v>24</v>
      </c>
      <c r="DZ2" s="7" t="s">
        <v>25</v>
      </c>
      <c r="EA2" s="7" t="s">
        <v>25</v>
      </c>
      <c r="EB2" s="7" t="s">
        <v>26</v>
      </c>
      <c r="EC2" s="7" t="s">
        <v>26</v>
      </c>
      <c r="ED2" s="7" t="s">
        <v>27</v>
      </c>
      <c r="EE2" s="7" t="s">
        <v>27</v>
      </c>
      <c r="EF2" s="7" t="s">
        <v>27</v>
      </c>
      <c r="EG2" s="7" t="s">
        <v>27</v>
      </c>
      <c r="EH2" s="7" t="s">
        <v>27</v>
      </c>
      <c r="EI2" s="7" t="s">
        <v>27</v>
      </c>
      <c r="EJ2" s="7" t="s">
        <v>28</v>
      </c>
      <c r="EK2" s="7" t="s">
        <v>28</v>
      </c>
      <c r="EL2" s="7" t="s">
        <v>28</v>
      </c>
      <c r="EM2" s="7" t="s">
        <v>28</v>
      </c>
      <c r="EN2" s="7" t="s">
        <v>28</v>
      </c>
      <c r="EO2" s="7" t="s">
        <v>29</v>
      </c>
      <c r="EP2" s="7" t="s">
        <v>30</v>
      </c>
      <c r="EQ2" s="7" t="s">
        <v>30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30</v>
      </c>
      <c r="EZ2" s="7" t="s">
        <v>31</v>
      </c>
      <c r="FA2" s="7" t="s">
        <v>31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31</v>
      </c>
      <c r="FH2" s="7" t="s">
        <v>32</v>
      </c>
      <c r="FI2" s="7" t="s">
        <v>32</v>
      </c>
      <c r="FJ2" s="7" t="s">
        <v>33</v>
      </c>
      <c r="FK2" s="7" t="s">
        <v>34</v>
      </c>
      <c r="FL2" s="7" t="s">
        <v>35</v>
      </c>
      <c r="FM2" s="7" t="s">
        <v>35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35</v>
      </c>
      <c r="GA2" s="7" t="s">
        <v>36</v>
      </c>
      <c r="GB2" s="7" t="s">
        <v>36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36</v>
      </c>
      <c r="GL2" s="7" t="s">
        <v>37</v>
      </c>
      <c r="GM2" s="7" t="s">
        <v>37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37</v>
      </c>
      <c r="GV2" s="7" t="s">
        <v>38</v>
      </c>
      <c r="GW2" s="7" t="s">
        <v>38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38</v>
      </c>
      <c r="HN2" s="7" t="s">
        <v>39</v>
      </c>
      <c r="HO2" s="7" t="s">
        <v>40</v>
      </c>
      <c r="HP2" s="7" t="s">
        <v>40</v>
      </c>
      <c r="HQ2" s="7" t="s">
        <v>40</v>
      </c>
      <c r="HR2" s="7" t="s">
        <v>40</v>
      </c>
      <c r="HS2" s="7" t="s">
        <v>41</v>
      </c>
      <c r="HT2" s="7" t="s">
        <v>41</v>
      </c>
      <c r="HU2" s="7" t="s">
        <v>42</v>
      </c>
      <c r="HV2" s="7" t="s">
        <v>42</v>
      </c>
      <c r="HW2" s="7" t="s">
        <v>42</v>
      </c>
      <c r="HX2" s="7" t="s">
        <v>42</v>
      </c>
      <c r="HY2" s="7" t="s">
        <v>43</v>
      </c>
      <c r="HZ2" s="7" t="s">
        <v>43</v>
      </c>
      <c r="IA2" s="7" t="s">
        <v>43</v>
      </c>
      <c r="IB2" s="7" t="s">
        <v>44</v>
      </c>
      <c r="IC2" s="7" t="s">
        <v>44</v>
      </c>
      <c r="ID2" s="7" t="s">
        <v>44</v>
      </c>
      <c r="IE2" s="7" t="s">
        <v>44</v>
      </c>
      <c r="IF2" s="7" t="s">
        <v>45</v>
      </c>
      <c r="IG2" s="7" t="s">
        <v>45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45</v>
      </c>
      <c r="IS2" s="7" t="s">
        <v>46</v>
      </c>
      <c r="IT2" s="7" t="s">
        <v>47</v>
      </c>
      <c r="IU2" s="7" t="s">
        <v>47</v>
      </c>
      <c r="IV2" s="7" t="s">
        <v>47</v>
      </c>
      <c r="IW2" s="7" t="s">
        <v>47</v>
      </c>
      <c r="IX2" s="7" t="s">
        <v>48</v>
      </c>
      <c r="IY2" s="7" t="s">
        <v>48</v>
      </c>
      <c r="IZ2" s="7" t="s">
        <v>48</v>
      </c>
      <c r="JA2" s="7" t="s">
        <v>48</v>
      </c>
      <c r="JB2" s="7" t="s">
        <v>49</v>
      </c>
      <c r="JC2" s="7" t="s">
        <v>49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49</v>
      </c>
      <c r="JL2" s="7" t="s">
        <v>50</v>
      </c>
      <c r="JM2" s="7" t="s">
        <v>50</v>
      </c>
      <c r="JN2" s="7" t="s">
        <v>50</v>
      </c>
      <c r="JO2" s="7" t="s">
        <v>51</v>
      </c>
      <c r="JP2" s="7" t="s">
        <v>51</v>
      </c>
      <c r="JQ2" s="7" t="s">
        <v>51</v>
      </c>
      <c r="JR2" s="7" t="s">
        <v>51</v>
      </c>
      <c r="JS2" s="7" t="s">
        <v>52</v>
      </c>
      <c r="JT2" s="7" t="s">
        <v>52</v>
      </c>
      <c r="JU2" s="7" t="s">
        <v>52</v>
      </c>
      <c r="JV2" s="7" t="s">
        <v>52</v>
      </c>
      <c r="JW2" s="7" t="s">
        <v>52</v>
      </c>
      <c r="JX2" s="7" t="s">
        <v>52</v>
      </c>
      <c r="JY2" s="7" t="s">
        <v>53</v>
      </c>
      <c r="JZ2" s="7" t="s">
        <v>53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53</v>
      </c>
      <c r="KI2" s="7" t="s">
        <v>54</v>
      </c>
      <c r="KJ2" s="7" t="s">
        <v>54</v>
      </c>
      <c r="KK2" s="7" t="s">
        <v>55</v>
      </c>
      <c r="KL2" s="7" t="s">
        <v>55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55</v>
      </c>
      <c r="KU2" s="7" t="s">
        <v>56</v>
      </c>
      <c r="KV2" s="7" t="s">
        <v>57</v>
      </c>
      <c r="KW2" s="10" t="s">
        <v>58</v>
      </c>
      <c r="KX2" s="10" t="s">
        <v>58</v>
      </c>
    </row>
    <row r="3" ht="12.75" customHeight="1">
      <c r="A3" s="7"/>
      <c r="B3" s="8"/>
      <c r="C3" s="8"/>
      <c r="D3" s="11" t="str">
        <f>VLOOKUP($K$9,$W$7:$CA$8,57,0)</f>
        <v>Datos Específicos para Sport Entries</v>
      </c>
      <c r="E3" s="12"/>
      <c r="F3" s="13"/>
      <c r="G3" s="13"/>
      <c r="H3" s="4"/>
      <c r="I3" s="4"/>
      <c r="J3" s="4"/>
      <c r="K3" s="7"/>
      <c r="L3" s="4"/>
      <c r="M3" s="4"/>
      <c r="N3" s="4"/>
      <c r="W3" s="10" t="s">
        <v>59</v>
      </c>
      <c r="X3" s="7" t="s">
        <v>60</v>
      </c>
      <c r="Y3" s="7" t="s">
        <v>61</v>
      </c>
      <c r="Z3" s="7" t="s">
        <v>62</v>
      </c>
      <c r="AA3" s="7" t="s">
        <v>63</v>
      </c>
      <c r="AB3" s="7" t="s">
        <v>64</v>
      </c>
      <c r="AC3" s="7" t="s">
        <v>65</v>
      </c>
      <c r="AD3" s="7" t="s">
        <v>66</v>
      </c>
      <c r="AE3" s="7" t="s">
        <v>67</v>
      </c>
      <c r="AF3" s="7" t="s">
        <v>68</v>
      </c>
      <c r="AG3" s="7" t="s">
        <v>69</v>
      </c>
      <c r="AH3" s="7" t="s">
        <v>70</v>
      </c>
      <c r="AI3" s="7" t="s">
        <v>71</v>
      </c>
      <c r="AJ3" s="7" t="s">
        <v>72</v>
      </c>
      <c r="AK3" s="7" t="s">
        <v>73</v>
      </c>
      <c r="AL3" s="7" t="s">
        <v>74</v>
      </c>
      <c r="AM3" s="7" t="s">
        <v>75</v>
      </c>
      <c r="AN3" s="7" t="s">
        <v>76</v>
      </c>
      <c r="AO3" s="7" t="s">
        <v>77</v>
      </c>
      <c r="AP3" s="7" t="s">
        <v>78</v>
      </c>
      <c r="AQ3" s="7" t="s">
        <v>79</v>
      </c>
      <c r="AR3" s="7" t="s">
        <v>80</v>
      </c>
      <c r="AS3" s="7" t="s">
        <v>81</v>
      </c>
      <c r="AT3" s="7" t="s">
        <v>82</v>
      </c>
      <c r="AU3" s="7" t="s">
        <v>83</v>
      </c>
      <c r="AV3" s="7" t="s">
        <v>84</v>
      </c>
      <c r="AW3" s="7" t="s">
        <v>85</v>
      </c>
      <c r="AX3" s="7" t="s">
        <v>86</v>
      </c>
      <c r="AY3" s="7" t="s">
        <v>87</v>
      </c>
      <c r="AZ3" s="7" t="s">
        <v>88</v>
      </c>
      <c r="BA3" s="7" t="s">
        <v>89</v>
      </c>
      <c r="BB3" s="7" t="s">
        <v>90</v>
      </c>
      <c r="BC3" s="7" t="s">
        <v>91</v>
      </c>
      <c r="BD3" s="7" t="s">
        <v>92</v>
      </c>
      <c r="BE3" s="7" t="s">
        <v>93</v>
      </c>
      <c r="BF3" s="7" t="s">
        <v>94</v>
      </c>
      <c r="BG3" s="7" t="s">
        <v>95</v>
      </c>
      <c r="BH3" s="7" t="s">
        <v>96</v>
      </c>
      <c r="BI3" s="7" t="s">
        <v>97</v>
      </c>
      <c r="BJ3" s="7" t="s">
        <v>98</v>
      </c>
      <c r="BK3" s="7" t="s">
        <v>99</v>
      </c>
      <c r="BL3" s="7" t="s">
        <v>100</v>
      </c>
      <c r="BM3" s="7" t="s">
        <v>101</v>
      </c>
      <c r="BN3" s="7" t="s">
        <v>102</v>
      </c>
      <c r="BO3" s="7" t="s">
        <v>103</v>
      </c>
      <c r="BP3" s="7" t="s">
        <v>104</v>
      </c>
      <c r="BQ3" s="7" t="s">
        <v>105</v>
      </c>
      <c r="BR3" s="7" t="s">
        <v>106</v>
      </c>
      <c r="BS3" s="7" t="s">
        <v>107</v>
      </c>
      <c r="BT3" s="7" t="s">
        <v>108</v>
      </c>
      <c r="BU3" s="7" t="s">
        <v>109</v>
      </c>
      <c r="BV3" s="7" t="s">
        <v>110</v>
      </c>
      <c r="BW3" s="7" t="s">
        <v>111</v>
      </c>
      <c r="BX3" s="7" t="s">
        <v>112</v>
      </c>
      <c r="BY3" s="7" t="s">
        <v>113</v>
      </c>
      <c r="BZ3" s="7" t="s">
        <v>114</v>
      </c>
      <c r="CA3" s="7" t="s">
        <v>115</v>
      </c>
      <c r="CB3" s="7" t="s">
        <v>116</v>
      </c>
      <c r="CC3" s="7" t="s">
        <v>117</v>
      </c>
      <c r="CD3" s="7" t="s">
        <v>118</v>
      </c>
      <c r="CE3" s="7" t="s">
        <v>119</v>
      </c>
      <c r="CF3" s="7" t="s">
        <v>120</v>
      </c>
      <c r="CG3" s="7" t="s">
        <v>121</v>
      </c>
      <c r="CH3" s="7" t="s">
        <v>114</v>
      </c>
      <c r="CI3" s="7" t="s">
        <v>115</v>
      </c>
      <c r="CJ3" s="7" t="s">
        <v>122</v>
      </c>
      <c r="CK3" s="7" t="s">
        <v>123</v>
      </c>
      <c r="CL3" s="7" t="s">
        <v>124</v>
      </c>
      <c r="CM3" s="7" t="s">
        <v>125</v>
      </c>
      <c r="CN3" s="7" t="s">
        <v>126</v>
      </c>
      <c r="CO3" s="7" t="s">
        <v>127</v>
      </c>
      <c r="CP3" s="7" t="s">
        <v>128</v>
      </c>
      <c r="CQ3" s="7" t="s">
        <v>129</v>
      </c>
      <c r="CR3" s="7" t="s">
        <v>130</v>
      </c>
      <c r="CS3" s="7" t="s">
        <v>131</v>
      </c>
      <c r="CT3" s="7" t="s">
        <v>132</v>
      </c>
      <c r="CU3" s="7" t="s">
        <v>133</v>
      </c>
      <c r="CV3" s="7" t="s">
        <v>134</v>
      </c>
      <c r="CW3" s="7" t="s">
        <v>135</v>
      </c>
      <c r="CX3" s="7" t="s">
        <v>136</v>
      </c>
      <c r="CY3" s="7" t="s">
        <v>137</v>
      </c>
      <c r="CZ3" s="7" t="s">
        <v>138</v>
      </c>
      <c r="DA3" s="7" t="s">
        <v>139</v>
      </c>
      <c r="DB3" s="7" t="s">
        <v>140</v>
      </c>
      <c r="DC3" s="7" t="s">
        <v>141</v>
      </c>
      <c r="DD3" s="7" t="s">
        <v>142</v>
      </c>
      <c r="DE3" s="7" t="s">
        <v>143</v>
      </c>
      <c r="DF3" s="7" t="s">
        <v>144</v>
      </c>
      <c r="DG3" s="7" t="s">
        <v>145</v>
      </c>
      <c r="DH3" s="7" t="s">
        <v>146</v>
      </c>
      <c r="DI3" s="7" t="s">
        <v>147</v>
      </c>
      <c r="DJ3" s="7" t="s">
        <v>148</v>
      </c>
      <c r="DK3" s="7" t="s">
        <v>149</v>
      </c>
      <c r="DL3" s="7" t="s">
        <v>150</v>
      </c>
      <c r="DM3" s="7" t="s">
        <v>151</v>
      </c>
      <c r="DN3" s="7" t="s">
        <v>152</v>
      </c>
      <c r="DO3" s="7" t="s">
        <v>153</v>
      </c>
      <c r="DP3" s="7" t="s">
        <v>154</v>
      </c>
      <c r="DQ3" s="7" t="s">
        <v>155</v>
      </c>
      <c r="DR3" s="7" t="s">
        <v>156</v>
      </c>
      <c r="DS3" s="7" t="s">
        <v>157</v>
      </c>
      <c r="DT3" s="7" t="s">
        <v>158</v>
      </c>
      <c r="DU3" s="7" t="s">
        <v>159</v>
      </c>
      <c r="DV3" s="7" t="s">
        <v>160</v>
      </c>
      <c r="DW3" s="7" t="s">
        <v>161</v>
      </c>
      <c r="DX3" s="7" t="s">
        <v>162</v>
      </c>
      <c r="DY3" s="7" t="s">
        <v>163</v>
      </c>
      <c r="DZ3" s="7" t="s">
        <v>164</v>
      </c>
      <c r="EA3" s="7" t="s">
        <v>165</v>
      </c>
      <c r="EB3" s="7" t="s">
        <v>166</v>
      </c>
      <c r="EC3" s="7" t="s">
        <v>167</v>
      </c>
      <c r="ED3" s="7" t="s">
        <v>168</v>
      </c>
      <c r="EE3" s="7" t="s">
        <v>169</v>
      </c>
      <c r="EF3" s="7" t="s">
        <v>170</v>
      </c>
      <c r="EG3" s="7" t="s">
        <v>171</v>
      </c>
      <c r="EH3" s="7" t="s">
        <v>172</v>
      </c>
      <c r="EI3" s="7" t="s">
        <v>173</v>
      </c>
      <c r="EJ3" s="7" t="s">
        <v>174</v>
      </c>
      <c r="EK3" s="7" t="s">
        <v>175</v>
      </c>
      <c r="EL3" s="7" t="s">
        <v>176</v>
      </c>
      <c r="EM3" s="7" t="s">
        <v>177</v>
      </c>
      <c r="EN3" s="7" t="s">
        <v>178</v>
      </c>
      <c r="EO3" s="7" t="s">
        <v>179</v>
      </c>
      <c r="EP3" s="7" t="s">
        <v>84</v>
      </c>
      <c r="EQ3" s="7" t="s">
        <v>180</v>
      </c>
      <c r="ER3" s="7" t="s">
        <v>181</v>
      </c>
      <c r="ES3" s="7" t="s">
        <v>182</v>
      </c>
      <c r="ET3" s="7" t="s">
        <v>183</v>
      </c>
      <c r="EU3" s="7" t="s">
        <v>176</v>
      </c>
      <c r="EV3" s="7" t="s">
        <v>184</v>
      </c>
      <c r="EW3" s="7" t="s">
        <v>185</v>
      </c>
      <c r="EX3" s="7" t="s">
        <v>186</v>
      </c>
      <c r="EY3" s="7" t="s">
        <v>187</v>
      </c>
      <c r="EZ3" s="7" t="s">
        <v>188</v>
      </c>
      <c r="FA3" s="7" t="s">
        <v>189</v>
      </c>
      <c r="FB3" s="7" t="s">
        <v>190</v>
      </c>
      <c r="FC3" s="7" t="s">
        <v>191</v>
      </c>
      <c r="FD3" s="7" t="s">
        <v>192</v>
      </c>
      <c r="FE3" s="7" t="s">
        <v>193</v>
      </c>
      <c r="FF3" s="7" t="s">
        <v>194</v>
      </c>
      <c r="FG3" s="7" t="s">
        <v>195</v>
      </c>
      <c r="FH3" s="7" t="s">
        <v>114</v>
      </c>
      <c r="FI3" s="7" t="s">
        <v>196</v>
      </c>
      <c r="FJ3" s="7" t="s">
        <v>197</v>
      </c>
      <c r="FK3" s="7" t="s">
        <v>198</v>
      </c>
      <c r="FL3" s="10" t="s">
        <v>199</v>
      </c>
      <c r="FM3" s="10" t="s">
        <v>200</v>
      </c>
      <c r="FN3" s="10" t="s">
        <v>201</v>
      </c>
      <c r="FO3" s="10" t="s">
        <v>202</v>
      </c>
      <c r="FP3" s="10" t="s">
        <v>203</v>
      </c>
      <c r="FQ3" s="10" t="s">
        <v>204</v>
      </c>
      <c r="FR3" s="10" t="s">
        <v>205</v>
      </c>
      <c r="FS3" s="10" t="s">
        <v>206</v>
      </c>
      <c r="FT3" s="10" t="s">
        <v>207</v>
      </c>
      <c r="FU3" s="10" t="s">
        <v>208</v>
      </c>
      <c r="FV3" s="10" t="s">
        <v>209</v>
      </c>
      <c r="FW3" s="10" t="s">
        <v>210</v>
      </c>
      <c r="FX3" s="10" t="s">
        <v>211</v>
      </c>
      <c r="FY3" s="10" t="s">
        <v>212</v>
      </c>
      <c r="FZ3" s="7" t="s">
        <v>213</v>
      </c>
      <c r="GA3" s="10" t="s">
        <v>214</v>
      </c>
      <c r="GB3" s="10" t="s">
        <v>215</v>
      </c>
      <c r="GC3" s="10" t="s">
        <v>216</v>
      </c>
      <c r="GD3" s="10" t="s">
        <v>217</v>
      </c>
      <c r="GE3" s="10" t="s">
        <v>218</v>
      </c>
      <c r="GF3" s="10" t="s">
        <v>219</v>
      </c>
      <c r="GG3" s="10" t="s">
        <v>220</v>
      </c>
      <c r="GH3" s="10" t="s">
        <v>221</v>
      </c>
      <c r="GI3" s="10" t="s">
        <v>222</v>
      </c>
      <c r="GJ3" s="10" t="s">
        <v>223</v>
      </c>
      <c r="GK3" s="7" t="s">
        <v>224</v>
      </c>
      <c r="GL3" s="7" t="s">
        <v>225</v>
      </c>
      <c r="GM3" s="7" t="s">
        <v>226</v>
      </c>
      <c r="GN3" s="7" t="s">
        <v>227</v>
      </c>
      <c r="GO3" s="7" t="s">
        <v>228</v>
      </c>
      <c r="GP3" s="7" t="s">
        <v>229</v>
      </c>
      <c r="GQ3" s="7" t="s">
        <v>230</v>
      </c>
      <c r="GR3" s="7" t="s">
        <v>231</v>
      </c>
      <c r="GS3" s="7" t="s">
        <v>232</v>
      </c>
      <c r="GT3" s="7" t="s">
        <v>233</v>
      </c>
      <c r="GU3" s="7" t="s">
        <v>234</v>
      </c>
      <c r="GV3" s="7" t="s">
        <v>235</v>
      </c>
      <c r="GW3" s="7" t="s">
        <v>236</v>
      </c>
      <c r="GX3" s="7" t="s">
        <v>237</v>
      </c>
      <c r="GY3" s="7" t="s">
        <v>238</v>
      </c>
      <c r="GZ3" s="7" t="s">
        <v>239</v>
      </c>
      <c r="HA3" s="7" t="s">
        <v>240</v>
      </c>
      <c r="HB3" s="7" t="s">
        <v>241</v>
      </c>
      <c r="HC3" s="7" t="s">
        <v>242</v>
      </c>
      <c r="HD3" s="7" t="s">
        <v>243</v>
      </c>
      <c r="HE3" s="7" t="s">
        <v>244</v>
      </c>
      <c r="HF3" s="7" t="s">
        <v>245</v>
      </c>
      <c r="HG3" s="7" t="s">
        <v>246</v>
      </c>
      <c r="HH3" s="7" t="s">
        <v>247</v>
      </c>
      <c r="HI3" s="7" t="s">
        <v>248</v>
      </c>
      <c r="HJ3" s="7" t="s">
        <v>249</v>
      </c>
      <c r="HK3" s="7" t="s">
        <v>250</v>
      </c>
      <c r="HL3" s="7" t="s">
        <v>251</v>
      </c>
      <c r="HM3" s="7" t="s">
        <v>252</v>
      </c>
      <c r="HN3" s="7" t="s">
        <v>253</v>
      </c>
      <c r="HO3" s="7" t="s">
        <v>254</v>
      </c>
      <c r="HP3" s="7" t="s">
        <v>255</v>
      </c>
      <c r="HQ3" s="7" t="s">
        <v>256</v>
      </c>
      <c r="HR3" s="7" t="s">
        <v>257</v>
      </c>
      <c r="HS3" s="7" t="s">
        <v>258</v>
      </c>
      <c r="HT3" s="7" t="s">
        <v>259</v>
      </c>
      <c r="HU3" s="7" t="s">
        <v>260</v>
      </c>
      <c r="HV3" s="7" t="s">
        <v>261</v>
      </c>
      <c r="HW3" s="7" t="s">
        <v>262</v>
      </c>
      <c r="HX3" s="7" t="s">
        <v>263</v>
      </c>
      <c r="HY3" s="7" t="s">
        <v>114</v>
      </c>
      <c r="HZ3" s="7" t="s">
        <v>264</v>
      </c>
      <c r="IA3" s="7" t="s">
        <v>265</v>
      </c>
      <c r="IB3" s="7" t="s">
        <v>114</v>
      </c>
      <c r="IC3" s="7" t="s">
        <v>115</v>
      </c>
      <c r="ID3" s="7" t="s">
        <v>84</v>
      </c>
      <c r="IE3" s="7" t="s">
        <v>266</v>
      </c>
      <c r="IF3" s="7" t="s">
        <v>267</v>
      </c>
      <c r="IG3" s="7" t="s">
        <v>268</v>
      </c>
      <c r="IH3" s="7" t="s">
        <v>269</v>
      </c>
      <c r="II3" s="7" t="s">
        <v>270</v>
      </c>
      <c r="IJ3" s="7" t="s">
        <v>271</v>
      </c>
      <c r="IK3" s="7" t="s">
        <v>272</v>
      </c>
      <c r="IL3" s="7" t="s">
        <v>273</v>
      </c>
      <c r="IM3" s="7" t="s">
        <v>274</v>
      </c>
      <c r="IN3" s="7" t="s">
        <v>275</v>
      </c>
      <c r="IO3" s="7" t="s">
        <v>276</v>
      </c>
      <c r="IP3" s="7" t="s">
        <v>277</v>
      </c>
      <c r="IQ3" s="7" t="s">
        <v>278</v>
      </c>
      <c r="IR3" s="7" t="s">
        <v>279</v>
      </c>
      <c r="IS3" s="7" t="s">
        <v>280</v>
      </c>
      <c r="IT3" s="7" t="s">
        <v>114</v>
      </c>
      <c r="IU3" s="7" t="s">
        <v>84</v>
      </c>
      <c r="IV3" s="7" t="s">
        <v>115</v>
      </c>
      <c r="IW3" s="7" t="s">
        <v>266</v>
      </c>
      <c r="IX3" s="7" t="s">
        <v>281</v>
      </c>
      <c r="IY3" s="7" t="s">
        <v>282</v>
      </c>
      <c r="IZ3" s="7" t="s">
        <v>283</v>
      </c>
      <c r="JA3" s="7" t="s">
        <v>284</v>
      </c>
      <c r="JB3" s="7" t="s">
        <v>285</v>
      </c>
      <c r="JC3" s="7" t="s">
        <v>286</v>
      </c>
      <c r="JD3" s="7" t="s">
        <v>287</v>
      </c>
      <c r="JE3" s="7" t="s">
        <v>288</v>
      </c>
      <c r="JF3" s="7" t="s">
        <v>289</v>
      </c>
      <c r="JG3" s="7" t="s">
        <v>290</v>
      </c>
      <c r="JH3" s="7" t="s">
        <v>291</v>
      </c>
      <c r="JI3" s="7" t="s">
        <v>292</v>
      </c>
      <c r="JJ3" s="7" t="s">
        <v>293</v>
      </c>
      <c r="JK3" s="7" t="s">
        <v>294</v>
      </c>
      <c r="JL3" s="7" t="s">
        <v>114</v>
      </c>
      <c r="JM3" s="7" t="s">
        <v>115</v>
      </c>
      <c r="JN3" s="7" t="s">
        <v>266</v>
      </c>
      <c r="JO3" s="7" t="s">
        <v>114</v>
      </c>
      <c r="JP3" s="7" t="s">
        <v>84</v>
      </c>
      <c r="JQ3" s="7" t="s">
        <v>115</v>
      </c>
      <c r="JR3" s="7" t="s">
        <v>266</v>
      </c>
      <c r="JS3" s="7" t="s">
        <v>295</v>
      </c>
      <c r="JT3" s="7" t="s">
        <v>296</v>
      </c>
      <c r="JU3" s="7" t="s">
        <v>297</v>
      </c>
      <c r="JV3" s="7" t="s">
        <v>298</v>
      </c>
      <c r="JW3" s="7" t="s">
        <v>299</v>
      </c>
      <c r="JX3" s="7" t="s">
        <v>300</v>
      </c>
      <c r="JY3" s="7" t="s">
        <v>301</v>
      </c>
      <c r="JZ3" s="7" t="s">
        <v>302</v>
      </c>
      <c r="KA3" s="7" t="s">
        <v>303</v>
      </c>
      <c r="KB3" s="7" t="s">
        <v>304</v>
      </c>
      <c r="KC3" s="7" t="s">
        <v>305</v>
      </c>
      <c r="KD3" s="7" t="s">
        <v>306</v>
      </c>
      <c r="KE3" s="7" t="s">
        <v>307</v>
      </c>
      <c r="KF3" s="7" t="s">
        <v>308</v>
      </c>
      <c r="KG3" s="7" t="s">
        <v>309</v>
      </c>
      <c r="KH3" s="7" t="s">
        <v>310</v>
      </c>
      <c r="KI3" s="7" t="s">
        <v>114</v>
      </c>
      <c r="KJ3" s="7" t="s">
        <v>265</v>
      </c>
      <c r="KK3" s="7" t="s">
        <v>311</v>
      </c>
      <c r="KL3" s="7" t="s">
        <v>312</v>
      </c>
      <c r="KM3" s="7" t="s">
        <v>313</v>
      </c>
      <c r="KN3" s="7" t="s">
        <v>314</v>
      </c>
      <c r="KO3" s="7" t="s">
        <v>315</v>
      </c>
      <c r="KP3" s="7" t="s">
        <v>316</v>
      </c>
      <c r="KQ3" s="7" t="s">
        <v>317</v>
      </c>
      <c r="KR3" s="7" t="s">
        <v>318</v>
      </c>
      <c r="KS3" s="7" t="s">
        <v>319</v>
      </c>
      <c r="KT3" s="7" t="s">
        <v>320</v>
      </c>
      <c r="KU3" s="7" t="s">
        <v>321</v>
      </c>
      <c r="KV3" s="7" t="s">
        <v>322</v>
      </c>
      <c r="KW3" s="10" t="s">
        <v>323</v>
      </c>
      <c r="KX3" s="10" t="s">
        <v>324</v>
      </c>
    </row>
    <row r="4" ht="12.75" customHeight="1">
      <c r="A4" s="7"/>
      <c r="B4" s="7"/>
      <c r="C4" s="7"/>
      <c r="E4" s="12"/>
      <c r="F4" s="13"/>
      <c r="G4" s="13"/>
      <c r="H4" s="4"/>
      <c r="I4" s="4"/>
      <c r="J4" s="4"/>
      <c r="K4" s="7"/>
      <c r="L4" s="4"/>
      <c r="M4" s="4"/>
      <c r="N4" s="4"/>
      <c r="W4" s="10" t="s">
        <v>325</v>
      </c>
      <c r="X4" s="7" t="s">
        <v>326</v>
      </c>
      <c r="Y4" s="7" t="s">
        <v>327</v>
      </c>
      <c r="Z4" s="7" t="s">
        <v>328</v>
      </c>
      <c r="AA4" s="7" t="s">
        <v>329</v>
      </c>
      <c r="AB4" s="7" t="s">
        <v>330</v>
      </c>
      <c r="AC4" s="7" t="s">
        <v>331</v>
      </c>
      <c r="AD4" s="7" t="s">
        <v>332</v>
      </c>
      <c r="AE4" s="7" t="s">
        <v>333</v>
      </c>
      <c r="AF4" s="7" t="s">
        <v>334</v>
      </c>
      <c r="AG4" s="7" t="s">
        <v>335</v>
      </c>
      <c r="AH4" s="7" t="s">
        <v>336</v>
      </c>
      <c r="AI4" s="7" t="s">
        <v>337</v>
      </c>
      <c r="AJ4" s="7" t="s">
        <v>338</v>
      </c>
      <c r="AK4" s="7" t="s">
        <v>339</v>
      </c>
      <c r="AL4" s="7" t="s">
        <v>340</v>
      </c>
      <c r="AM4" s="7" t="s">
        <v>341</v>
      </c>
      <c r="AN4" s="7" t="s">
        <v>342</v>
      </c>
      <c r="AO4" s="7" t="s">
        <v>343</v>
      </c>
      <c r="AP4" s="7" t="s">
        <v>344</v>
      </c>
      <c r="AQ4" s="7" t="s">
        <v>345</v>
      </c>
      <c r="AR4" s="7" t="s">
        <v>346</v>
      </c>
      <c r="AS4" s="7" t="s">
        <v>347</v>
      </c>
      <c r="AT4" s="7" t="s">
        <v>348</v>
      </c>
      <c r="AU4" s="7" t="s">
        <v>349</v>
      </c>
      <c r="AV4" s="7" t="s">
        <v>350</v>
      </c>
      <c r="AW4" s="7" t="s">
        <v>351</v>
      </c>
      <c r="AX4" s="10" t="s">
        <v>352</v>
      </c>
      <c r="AY4" s="10" t="s">
        <v>353</v>
      </c>
      <c r="AZ4" s="7" t="s">
        <v>88</v>
      </c>
      <c r="BA4" s="7" t="s">
        <v>89</v>
      </c>
      <c r="BB4" s="7" t="s">
        <v>90</v>
      </c>
      <c r="BC4" s="7" t="s">
        <v>91</v>
      </c>
      <c r="BD4" s="7" t="s">
        <v>92</v>
      </c>
      <c r="BE4" s="7" t="s">
        <v>93</v>
      </c>
      <c r="BF4" s="7" t="s">
        <v>94</v>
      </c>
      <c r="BG4" s="7" t="s">
        <v>354</v>
      </c>
      <c r="BH4" s="7" t="s">
        <v>355</v>
      </c>
      <c r="BI4" s="7" t="s">
        <v>356</v>
      </c>
      <c r="BJ4" s="7" t="s">
        <v>98</v>
      </c>
      <c r="BK4" s="7" t="s">
        <v>99</v>
      </c>
      <c r="BL4" s="7" t="s">
        <v>357</v>
      </c>
      <c r="BM4" s="7" t="s">
        <v>358</v>
      </c>
      <c r="BN4" s="7" t="s">
        <v>359</v>
      </c>
      <c r="BO4" s="7" t="s">
        <v>360</v>
      </c>
      <c r="BP4" s="7" t="s">
        <v>361</v>
      </c>
      <c r="BQ4" s="7" t="s">
        <v>362</v>
      </c>
      <c r="BR4" s="7" t="s">
        <v>363</v>
      </c>
      <c r="BS4" s="7" t="s">
        <v>364</v>
      </c>
      <c r="BT4" s="7" t="s">
        <v>365</v>
      </c>
      <c r="BU4" s="7" t="s">
        <v>109</v>
      </c>
      <c r="BV4" s="7" t="s">
        <v>366</v>
      </c>
      <c r="BW4" s="7" t="s">
        <v>367</v>
      </c>
      <c r="BX4" s="7" t="s">
        <v>368</v>
      </c>
      <c r="BY4" s="7" t="s">
        <v>369</v>
      </c>
      <c r="BZ4" s="7" t="s">
        <v>114</v>
      </c>
      <c r="CA4" s="7" t="s">
        <v>351</v>
      </c>
      <c r="CB4" s="7" t="s">
        <v>370</v>
      </c>
      <c r="CC4" s="10" t="s">
        <v>371</v>
      </c>
      <c r="CD4" s="10" t="s">
        <v>372</v>
      </c>
      <c r="CE4" s="10" t="s">
        <v>373</v>
      </c>
      <c r="CF4" s="10" t="s">
        <v>374</v>
      </c>
      <c r="CG4" s="10" t="s">
        <v>375</v>
      </c>
      <c r="CH4" s="7" t="s">
        <v>114</v>
      </c>
      <c r="CI4" s="7" t="s">
        <v>376</v>
      </c>
      <c r="CJ4" s="7" t="s">
        <v>122</v>
      </c>
      <c r="CK4" s="7" t="s">
        <v>123</v>
      </c>
      <c r="CL4" s="7" t="s">
        <v>124</v>
      </c>
      <c r="CM4" s="7" t="s">
        <v>125</v>
      </c>
      <c r="CN4" s="7" t="s">
        <v>126</v>
      </c>
      <c r="CO4" s="7" t="s">
        <v>127</v>
      </c>
      <c r="CP4" s="7" t="s">
        <v>128</v>
      </c>
      <c r="CQ4" s="7" t="s">
        <v>129</v>
      </c>
      <c r="CR4" s="7" t="s">
        <v>130</v>
      </c>
      <c r="CS4" s="7" t="s">
        <v>131</v>
      </c>
      <c r="CT4" s="7" t="s">
        <v>132</v>
      </c>
      <c r="CU4" s="7" t="s">
        <v>133</v>
      </c>
      <c r="CV4" s="7" t="s">
        <v>134</v>
      </c>
      <c r="CW4" s="7" t="s">
        <v>135</v>
      </c>
      <c r="CX4" s="7" t="s">
        <v>136</v>
      </c>
      <c r="CY4" s="7" t="s">
        <v>137</v>
      </c>
      <c r="CZ4" s="7" t="s">
        <v>138</v>
      </c>
      <c r="DA4" s="7" t="s">
        <v>139</v>
      </c>
      <c r="DB4" s="7" t="s">
        <v>140</v>
      </c>
      <c r="DC4" s="7" t="s">
        <v>141</v>
      </c>
      <c r="DD4" s="7" t="s">
        <v>142</v>
      </c>
      <c r="DE4" s="7" t="s">
        <v>143</v>
      </c>
      <c r="DF4" s="7" t="s">
        <v>144</v>
      </c>
      <c r="DG4" s="7" t="s">
        <v>145</v>
      </c>
      <c r="DH4" s="7" t="s">
        <v>146</v>
      </c>
      <c r="DI4" s="7" t="s">
        <v>147</v>
      </c>
      <c r="DJ4" s="7" t="s">
        <v>148</v>
      </c>
      <c r="DK4" s="7" t="s">
        <v>149</v>
      </c>
      <c r="DL4" s="7" t="s">
        <v>150</v>
      </c>
      <c r="DM4" s="7" t="s">
        <v>151</v>
      </c>
      <c r="DN4" s="7" t="s">
        <v>377</v>
      </c>
      <c r="DO4" s="7" t="s">
        <v>378</v>
      </c>
      <c r="DP4" s="7" t="s">
        <v>379</v>
      </c>
      <c r="DQ4" s="7" t="s">
        <v>155</v>
      </c>
      <c r="DR4" s="7" t="s">
        <v>156</v>
      </c>
      <c r="DS4" s="7" t="s">
        <v>380</v>
      </c>
      <c r="DT4" s="7" t="s">
        <v>381</v>
      </c>
      <c r="DU4" s="7" t="s">
        <v>159</v>
      </c>
      <c r="DV4" s="7" t="s">
        <v>382</v>
      </c>
      <c r="DW4" s="7" t="s">
        <v>383</v>
      </c>
      <c r="DX4" s="7" t="s">
        <v>384</v>
      </c>
      <c r="DY4" s="7" t="s">
        <v>385</v>
      </c>
      <c r="DZ4" s="7" t="s">
        <v>386</v>
      </c>
      <c r="EA4" s="7" t="s">
        <v>387</v>
      </c>
      <c r="EB4" s="7" t="s">
        <v>388</v>
      </c>
      <c r="EC4" s="7" t="s">
        <v>167</v>
      </c>
      <c r="ED4" s="7" t="s">
        <v>389</v>
      </c>
      <c r="EE4" s="7" t="s">
        <v>390</v>
      </c>
      <c r="EF4" s="7" t="s">
        <v>391</v>
      </c>
      <c r="EG4" s="7" t="s">
        <v>392</v>
      </c>
      <c r="EH4" s="7" t="s">
        <v>393</v>
      </c>
      <c r="EI4" s="7" t="s">
        <v>394</v>
      </c>
      <c r="EJ4" s="7" t="s">
        <v>395</v>
      </c>
      <c r="EK4" s="7" t="s">
        <v>175</v>
      </c>
      <c r="EL4" s="7" t="s">
        <v>396</v>
      </c>
      <c r="EM4" s="7" t="s">
        <v>177</v>
      </c>
      <c r="EN4" s="7" t="s">
        <v>178</v>
      </c>
      <c r="EO4" s="10" t="s">
        <v>397</v>
      </c>
      <c r="EP4" s="7" t="s">
        <v>350</v>
      </c>
      <c r="EQ4" s="7" t="s">
        <v>398</v>
      </c>
      <c r="ER4" s="7" t="s">
        <v>399</v>
      </c>
      <c r="ES4" s="7" t="s">
        <v>400</v>
      </c>
      <c r="ET4" s="7" t="s">
        <v>401</v>
      </c>
      <c r="EU4" s="7" t="s">
        <v>402</v>
      </c>
      <c r="EV4" s="7" t="s">
        <v>403</v>
      </c>
      <c r="EW4" s="7" t="s">
        <v>404</v>
      </c>
      <c r="EX4" s="7" t="s">
        <v>405</v>
      </c>
      <c r="EY4" s="7" t="s">
        <v>406</v>
      </c>
      <c r="EZ4" s="7" t="s">
        <v>398</v>
      </c>
      <c r="FA4" s="7" t="s">
        <v>407</v>
      </c>
      <c r="FB4" s="7" t="s">
        <v>408</v>
      </c>
      <c r="FC4" s="7" t="s">
        <v>409</v>
      </c>
      <c r="FD4" s="7" t="s">
        <v>410</v>
      </c>
      <c r="FE4" s="7" t="s">
        <v>411</v>
      </c>
      <c r="FF4" s="7" t="s">
        <v>412</v>
      </c>
      <c r="FG4" s="7" t="s">
        <v>413</v>
      </c>
      <c r="FH4" s="7" t="s">
        <v>114</v>
      </c>
      <c r="FI4" s="7" t="s">
        <v>414</v>
      </c>
      <c r="FJ4" s="7" t="s">
        <v>197</v>
      </c>
      <c r="FK4" s="10" t="s">
        <v>415</v>
      </c>
      <c r="FL4" s="7" t="s">
        <v>416</v>
      </c>
      <c r="FM4" s="10" t="s">
        <v>200</v>
      </c>
      <c r="FN4" s="10" t="s">
        <v>201</v>
      </c>
      <c r="FO4" s="10" t="s">
        <v>202</v>
      </c>
      <c r="FP4" s="10" t="s">
        <v>203</v>
      </c>
      <c r="FQ4" s="10" t="s">
        <v>204</v>
      </c>
      <c r="FR4" s="10" t="s">
        <v>205</v>
      </c>
      <c r="FS4" s="10" t="s">
        <v>206</v>
      </c>
      <c r="FT4" s="10" t="s">
        <v>207</v>
      </c>
      <c r="FU4" s="10" t="s">
        <v>208</v>
      </c>
      <c r="FV4" s="10" t="s">
        <v>209</v>
      </c>
      <c r="FW4" s="10" t="s">
        <v>210</v>
      </c>
      <c r="FX4" s="10" t="s">
        <v>211</v>
      </c>
      <c r="FY4" s="10" t="s">
        <v>212</v>
      </c>
      <c r="FZ4" s="7" t="s">
        <v>417</v>
      </c>
      <c r="GA4" s="10" t="s">
        <v>214</v>
      </c>
      <c r="GB4" s="10" t="s">
        <v>215</v>
      </c>
      <c r="GC4" s="10" t="s">
        <v>216</v>
      </c>
      <c r="GD4" s="10" t="s">
        <v>217</v>
      </c>
      <c r="GE4" s="10" t="s">
        <v>218</v>
      </c>
      <c r="GF4" s="10" t="s">
        <v>219</v>
      </c>
      <c r="GG4" s="10" t="s">
        <v>220</v>
      </c>
      <c r="GH4" s="10" t="s">
        <v>221</v>
      </c>
      <c r="GI4" s="10" t="s">
        <v>222</v>
      </c>
      <c r="GJ4" s="10" t="s">
        <v>223</v>
      </c>
      <c r="GK4" s="7" t="s">
        <v>224</v>
      </c>
      <c r="GL4" s="7" t="s">
        <v>225</v>
      </c>
      <c r="GM4" s="7" t="s">
        <v>226</v>
      </c>
      <c r="GN4" s="7" t="s">
        <v>227</v>
      </c>
      <c r="GO4" s="7" t="s">
        <v>228</v>
      </c>
      <c r="GP4" s="7" t="s">
        <v>229</v>
      </c>
      <c r="GQ4" s="7" t="s">
        <v>230</v>
      </c>
      <c r="GR4" s="7" t="s">
        <v>231</v>
      </c>
      <c r="GS4" s="7" t="s">
        <v>232</v>
      </c>
      <c r="GT4" s="7" t="s">
        <v>233</v>
      </c>
      <c r="GU4" s="7" t="s">
        <v>234</v>
      </c>
      <c r="GV4" s="7" t="s">
        <v>418</v>
      </c>
      <c r="GW4" s="7" t="s">
        <v>419</v>
      </c>
      <c r="GX4" s="7" t="s">
        <v>420</v>
      </c>
      <c r="GY4" s="7" t="s">
        <v>421</v>
      </c>
      <c r="GZ4" s="7" t="s">
        <v>422</v>
      </c>
      <c r="HA4" s="7" t="s">
        <v>423</v>
      </c>
      <c r="HB4" s="7" t="s">
        <v>424</v>
      </c>
      <c r="HC4" s="7" t="s">
        <v>425</v>
      </c>
      <c r="HD4" s="7" t="s">
        <v>426</v>
      </c>
      <c r="HE4" s="7" t="s">
        <v>427</v>
      </c>
      <c r="HF4" s="7" t="s">
        <v>428</v>
      </c>
      <c r="HG4" s="7" t="s">
        <v>429</v>
      </c>
      <c r="HH4" s="7" t="s">
        <v>430</v>
      </c>
      <c r="HI4" s="7" t="s">
        <v>431</v>
      </c>
      <c r="HJ4" s="7" t="s">
        <v>432</v>
      </c>
      <c r="HK4" s="7" t="s">
        <v>433</v>
      </c>
      <c r="HL4" s="7" t="s">
        <v>434</v>
      </c>
      <c r="HM4" s="7" t="s">
        <v>435</v>
      </c>
      <c r="HN4" s="10" t="s">
        <v>436</v>
      </c>
      <c r="HO4" s="7" t="s">
        <v>437</v>
      </c>
      <c r="HP4" s="7" t="s">
        <v>438</v>
      </c>
      <c r="HQ4" s="7" t="s">
        <v>439</v>
      </c>
      <c r="HR4" s="7" t="s">
        <v>440</v>
      </c>
      <c r="HS4" s="7" t="s">
        <v>258</v>
      </c>
      <c r="HT4" s="7" t="s">
        <v>259</v>
      </c>
      <c r="HU4" s="7" t="s">
        <v>441</v>
      </c>
      <c r="HV4" s="7" t="s">
        <v>442</v>
      </c>
      <c r="HW4" s="7" t="s">
        <v>443</v>
      </c>
      <c r="HX4" s="7" t="s">
        <v>263</v>
      </c>
      <c r="HY4" s="7" t="s">
        <v>114</v>
      </c>
      <c r="HZ4" s="7" t="s">
        <v>444</v>
      </c>
      <c r="IA4" s="7" t="s">
        <v>445</v>
      </c>
      <c r="IB4" s="7" t="s">
        <v>114</v>
      </c>
      <c r="IC4" s="7" t="s">
        <v>376</v>
      </c>
      <c r="ID4" s="7" t="s">
        <v>350</v>
      </c>
      <c r="IE4" s="7" t="s">
        <v>370</v>
      </c>
      <c r="IF4" s="7" t="s">
        <v>267</v>
      </c>
      <c r="IG4" s="7" t="s">
        <v>268</v>
      </c>
      <c r="IH4" s="7" t="s">
        <v>269</v>
      </c>
      <c r="II4" s="7" t="s">
        <v>270</v>
      </c>
      <c r="IJ4" s="7" t="s">
        <v>271</v>
      </c>
      <c r="IK4" s="7" t="s">
        <v>272</v>
      </c>
      <c r="IL4" s="7" t="s">
        <v>273</v>
      </c>
      <c r="IM4" s="7" t="s">
        <v>274</v>
      </c>
      <c r="IN4" s="7" t="s">
        <v>275</v>
      </c>
      <c r="IO4" s="7" t="s">
        <v>276</v>
      </c>
      <c r="IP4" s="7" t="s">
        <v>277</v>
      </c>
      <c r="IQ4" s="7" t="s">
        <v>278</v>
      </c>
      <c r="IR4" s="7" t="s">
        <v>446</v>
      </c>
      <c r="IS4" s="10" t="s">
        <v>280</v>
      </c>
      <c r="IT4" s="7" t="s">
        <v>114</v>
      </c>
      <c r="IU4" s="7" t="s">
        <v>376</v>
      </c>
      <c r="IV4" s="7" t="s">
        <v>350</v>
      </c>
      <c r="IW4" s="7" t="s">
        <v>370</v>
      </c>
      <c r="IX4" s="7" t="s">
        <v>281</v>
      </c>
      <c r="IY4" s="7" t="s">
        <v>282</v>
      </c>
      <c r="IZ4" s="7" t="s">
        <v>283</v>
      </c>
      <c r="JA4" s="7" t="s">
        <v>284</v>
      </c>
      <c r="JB4" s="7" t="s">
        <v>285</v>
      </c>
      <c r="JC4" s="7" t="s">
        <v>286</v>
      </c>
      <c r="JD4" s="7" t="s">
        <v>287</v>
      </c>
      <c r="JE4" s="7" t="s">
        <v>288</v>
      </c>
      <c r="JF4" s="7" t="s">
        <v>289</v>
      </c>
      <c r="JG4" s="7" t="s">
        <v>290</v>
      </c>
      <c r="JH4" s="7" t="s">
        <v>291</v>
      </c>
      <c r="JI4" s="7" t="s">
        <v>292</v>
      </c>
      <c r="JJ4" s="7" t="s">
        <v>447</v>
      </c>
      <c r="JK4" s="7" t="s">
        <v>448</v>
      </c>
      <c r="JL4" s="7" t="s">
        <v>114</v>
      </c>
      <c r="JM4" s="7" t="s">
        <v>376</v>
      </c>
      <c r="JN4" s="7" t="s">
        <v>370</v>
      </c>
      <c r="JO4" s="7" t="s">
        <v>114</v>
      </c>
      <c r="JP4" s="7" t="s">
        <v>350</v>
      </c>
      <c r="JQ4" s="7" t="s">
        <v>376</v>
      </c>
      <c r="JR4" s="7" t="s">
        <v>370</v>
      </c>
      <c r="JS4" s="7" t="s">
        <v>449</v>
      </c>
      <c r="JT4" s="7" t="s">
        <v>450</v>
      </c>
      <c r="JU4" s="7" t="s">
        <v>451</v>
      </c>
      <c r="JV4" s="7" t="s">
        <v>452</v>
      </c>
      <c r="JW4" s="7" t="s">
        <v>453</v>
      </c>
      <c r="JX4" s="7" t="s">
        <v>454</v>
      </c>
      <c r="JY4" s="7" t="s">
        <v>455</v>
      </c>
      <c r="JZ4" s="7" t="s">
        <v>456</v>
      </c>
      <c r="KA4" s="7" t="s">
        <v>457</v>
      </c>
      <c r="KB4" s="7" t="s">
        <v>458</v>
      </c>
      <c r="KC4" s="7" t="s">
        <v>459</v>
      </c>
      <c r="KD4" s="7" t="s">
        <v>306</v>
      </c>
      <c r="KE4" s="7" t="s">
        <v>307</v>
      </c>
      <c r="KF4" s="7" t="s">
        <v>460</v>
      </c>
      <c r="KG4" s="7" t="s">
        <v>461</v>
      </c>
      <c r="KH4" s="7" t="s">
        <v>462</v>
      </c>
      <c r="KI4" s="7" t="s">
        <v>114</v>
      </c>
      <c r="KJ4" s="7" t="s">
        <v>445</v>
      </c>
      <c r="KK4" s="7" t="s">
        <v>463</v>
      </c>
      <c r="KL4" s="7" t="s">
        <v>464</v>
      </c>
      <c r="KM4" s="7" t="s">
        <v>465</v>
      </c>
      <c r="KN4" s="7" t="s">
        <v>466</v>
      </c>
      <c r="KO4" s="7" t="s">
        <v>467</v>
      </c>
      <c r="KP4" s="7" t="s">
        <v>468</v>
      </c>
      <c r="KQ4" s="7" t="s">
        <v>317</v>
      </c>
      <c r="KR4" s="7" t="s">
        <v>469</v>
      </c>
      <c r="KS4" s="7" t="s">
        <v>470</v>
      </c>
      <c r="KT4" s="7" t="s">
        <v>471</v>
      </c>
      <c r="KU4" s="10" t="s">
        <v>472</v>
      </c>
      <c r="KV4" s="10" t="s">
        <v>473</v>
      </c>
      <c r="KW4" s="10" t="s">
        <v>474</v>
      </c>
      <c r="KX4" s="10" t="s">
        <v>475</v>
      </c>
    </row>
    <row r="5" ht="12.75" customHeight="1">
      <c r="A5" s="7"/>
      <c r="B5" s="7"/>
      <c r="C5" s="7"/>
      <c r="D5" s="14" t="str">
        <f>VLOOKUP($K$9,$W$7:$BZ$8,20,0)</f>
        <v>Ecuestres</v>
      </c>
      <c r="E5" s="15"/>
      <c r="F5" s="9"/>
      <c r="G5" s="9"/>
      <c r="H5" s="4"/>
      <c r="I5" s="4"/>
      <c r="J5" s="4"/>
      <c r="K5" s="7"/>
      <c r="L5" s="4"/>
      <c r="M5" s="4"/>
      <c r="N5" s="4"/>
      <c r="O5" s="4"/>
      <c r="P5" s="4"/>
      <c r="Q5" s="4"/>
      <c r="R5" s="4"/>
      <c r="S5" s="7"/>
      <c r="T5" s="7"/>
      <c r="U5" s="7"/>
      <c r="V5" s="7"/>
      <c r="W5" s="10" t="s">
        <v>59</v>
      </c>
      <c r="X5" s="10" t="s">
        <v>476</v>
      </c>
      <c r="Y5" s="10" t="s">
        <v>477</v>
      </c>
      <c r="Z5" s="10" t="s">
        <v>58</v>
      </c>
      <c r="AA5" s="10" t="s">
        <v>478</v>
      </c>
      <c r="AB5" s="10" t="s">
        <v>479</v>
      </c>
      <c r="AC5" s="10" t="s">
        <v>480</v>
      </c>
      <c r="AD5" s="10" t="s">
        <v>481</v>
      </c>
      <c r="AE5" s="10" t="s">
        <v>482</v>
      </c>
      <c r="AF5" s="10" t="s">
        <v>483</v>
      </c>
      <c r="AG5" s="10" t="s">
        <v>484</v>
      </c>
      <c r="AH5" s="10" t="s">
        <v>485</v>
      </c>
      <c r="AI5" s="10" t="s">
        <v>486</v>
      </c>
      <c r="AJ5" s="10" t="s">
        <v>487</v>
      </c>
      <c r="AK5" s="10" t="s">
        <v>488</v>
      </c>
      <c r="AL5" s="10" t="s">
        <v>489</v>
      </c>
      <c r="AM5" s="10" t="s">
        <v>490</v>
      </c>
      <c r="AN5" s="10" t="s">
        <v>491</v>
      </c>
      <c r="AO5" s="10" t="s">
        <v>492</v>
      </c>
      <c r="AP5" s="10" t="s">
        <v>493</v>
      </c>
      <c r="AQ5" s="10" t="s">
        <v>494</v>
      </c>
      <c r="AR5" s="10" t="s">
        <v>495</v>
      </c>
      <c r="AS5" s="10" t="s">
        <v>496</v>
      </c>
      <c r="AT5" s="10" t="s">
        <v>497</v>
      </c>
      <c r="AU5" s="10" t="s">
        <v>498</v>
      </c>
      <c r="AV5" s="10" t="s">
        <v>499</v>
      </c>
      <c r="AX5" s="10" t="s">
        <v>500</v>
      </c>
      <c r="AY5" s="10" t="s">
        <v>501</v>
      </c>
      <c r="AZ5" s="10" t="s">
        <v>502</v>
      </c>
      <c r="BA5" s="10" t="s">
        <v>503</v>
      </c>
      <c r="BB5" s="10" t="s">
        <v>504</v>
      </c>
      <c r="BC5" s="10" t="s">
        <v>505</v>
      </c>
      <c r="BD5" s="10" t="s">
        <v>506</v>
      </c>
      <c r="BE5" s="10" t="s">
        <v>507</v>
      </c>
      <c r="BF5" s="10" t="s">
        <v>508</v>
      </c>
      <c r="BG5" s="10" t="s">
        <v>509</v>
      </c>
      <c r="BH5" s="10" t="s">
        <v>510</v>
      </c>
      <c r="BI5" s="10" t="s">
        <v>511</v>
      </c>
      <c r="BJ5" s="10" t="s">
        <v>512</v>
      </c>
      <c r="BK5" s="10" t="s">
        <v>513</v>
      </c>
      <c r="BL5" s="10" t="s">
        <v>514</v>
      </c>
      <c r="BM5" s="10" t="s">
        <v>515</v>
      </c>
      <c r="BN5" s="10" t="s">
        <v>516</v>
      </c>
      <c r="BO5" s="10" t="s">
        <v>517</v>
      </c>
      <c r="BP5" s="10" t="s">
        <v>518</v>
      </c>
      <c r="BQ5" s="10" t="s">
        <v>519</v>
      </c>
      <c r="BR5" s="10" t="s">
        <v>520</v>
      </c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</row>
    <row r="6" ht="12.75" customHeight="1">
      <c r="A6" s="7"/>
      <c r="B6" s="7"/>
      <c r="C6" s="7"/>
      <c r="E6" s="15"/>
      <c r="F6" s="9"/>
      <c r="G6" s="9"/>
      <c r="H6" s="4"/>
      <c r="I6" s="4"/>
      <c r="J6" s="4"/>
      <c r="K6" s="7"/>
      <c r="L6" s="4"/>
      <c r="M6" s="4"/>
      <c r="N6" s="4"/>
      <c r="O6" s="4"/>
      <c r="P6" s="4"/>
      <c r="W6" s="10" t="s">
        <v>325</v>
      </c>
      <c r="X6" s="7" t="s">
        <v>521</v>
      </c>
      <c r="Y6" s="7" t="s">
        <v>522</v>
      </c>
      <c r="Z6" s="7" t="s">
        <v>523</v>
      </c>
      <c r="AA6" s="7" t="s">
        <v>524</v>
      </c>
      <c r="AB6" s="10" t="s">
        <v>525</v>
      </c>
      <c r="AC6" s="10" t="s">
        <v>526</v>
      </c>
      <c r="AD6" s="10" t="s">
        <v>527</v>
      </c>
      <c r="AE6" s="10" t="s">
        <v>528</v>
      </c>
      <c r="AF6" s="10" t="s">
        <v>529</v>
      </c>
      <c r="AG6" s="10" t="s">
        <v>530</v>
      </c>
      <c r="AH6" s="10" t="s">
        <v>531</v>
      </c>
      <c r="AI6" s="10" t="s">
        <v>532</v>
      </c>
      <c r="AJ6" s="10" t="s">
        <v>533</v>
      </c>
      <c r="AK6" s="10" t="s">
        <v>534</v>
      </c>
      <c r="AL6" s="10" t="s">
        <v>535</v>
      </c>
      <c r="AM6" s="10" t="s">
        <v>536</v>
      </c>
      <c r="AN6" s="10" t="s">
        <v>537</v>
      </c>
      <c r="AO6" s="10" t="s">
        <v>538</v>
      </c>
      <c r="AP6" s="10" t="s">
        <v>539</v>
      </c>
      <c r="AQ6" s="10" t="s">
        <v>540</v>
      </c>
      <c r="AR6" s="10" t="s">
        <v>541</v>
      </c>
      <c r="AS6" s="10" t="s">
        <v>542</v>
      </c>
      <c r="AT6" s="10" t="s">
        <v>543</v>
      </c>
      <c r="AU6" s="10" t="s">
        <v>544</v>
      </c>
      <c r="AV6" s="10" t="s">
        <v>545</v>
      </c>
      <c r="AX6" s="10" t="s">
        <v>546</v>
      </c>
      <c r="AY6" s="10" t="s">
        <v>547</v>
      </c>
      <c r="AZ6" s="10" t="s">
        <v>548</v>
      </c>
      <c r="BA6" s="10" t="s">
        <v>549</v>
      </c>
      <c r="BB6" s="10" t="s">
        <v>550</v>
      </c>
      <c r="BC6" s="10" t="s">
        <v>551</v>
      </c>
      <c r="BD6" s="10" t="s">
        <v>552</v>
      </c>
      <c r="BE6" s="10" t="s">
        <v>553</v>
      </c>
      <c r="BF6" s="10" t="s">
        <v>554</v>
      </c>
      <c r="BG6" s="10" t="s">
        <v>555</v>
      </c>
      <c r="BH6" s="10" t="s">
        <v>556</v>
      </c>
      <c r="BI6" s="10" t="s">
        <v>557</v>
      </c>
      <c r="BJ6" s="10" t="s">
        <v>558</v>
      </c>
      <c r="BK6" s="10" t="s">
        <v>559</v>
      </c>
      <c r="BL6" s="10" t="s">
        <v>560</v>
      </c>
      <c r="BM6" s="10" t="s">
        <v>561</v>
      </c>
      <c r="BN6" s="10" t="s">
        <v>562</v>
      </c>
      <c r="BO6" s="10" t="s">
        <v>563</v>
      </c>
      <c r="BP6" s="10" t="s">
        <v>564</v>
      </c>
      <c r="BQ6" s="10" t="s">
        <v>565</v>
      </c>
      <c r="BR6" s="10" t="s">
        <v>566</v>
      </c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</row>
    <row r="7" ht="13.5" customHeight="1">
      <c r="A7" s="7"/>
      <c r="B7" s="7"/>
      <c r="C7" s="7"/>
      <c r="D7" s="16"/>
      <c r="E7" s="15"/>
      <c r="F7" s="9"/>
      <c r="G7" s="9"/>
      <c r="H7" s="4"/>
      <c r="I7" s="4"/>
      <c r="J7" s="4"/>
      <c r="K7" s="7"/>
      <c r="L7" s="4"/>
      <c r="M7" s="4"/>
      <c r="N7" s="4"/>
      <c r="O7" s="4"/>
      <c r="P7" s="4"/>
      <c r="Q7" s="4"/>
      <c r="R7" s="4"/>
      <c r="S7" s="7"/>
      <c r="T7" s="7"/>
      <c r="U7" s="7"/>
      <c r="V7" s="7"/>
      <c r="W7" s="10" t="s">
        <v>59</v>
      </c>
      <c r="X7" s="10" t="s">
        <v>567</v>
      </c>
      <c r="Y7" s="10" t="s">
        <v>568</v>
      </c>
      <c r="Z7" s="10" t="s">
        <v>569</v>
      </c>
      <c r="AA7" s="10" t="s">
        <v>120</v>
      </c>
      <c r="AB7" s="10" t="s">
        <v>570</v>
      </c>
      <c r="AC7" s="10" t="s">
        <v>118</v>
      </c>
      <c r="AD7" s="10" t="s">
        <v>117</v>
      </c>
      <c r="AE7" s="10" t="s">
        <v>135</v>
      </c>
      <c r="AF7" s="10" t="s">
        <v>149</v>
      </c>
      <c r="AG7" s="10" t="s">
        <v>150</v>
      </c>
      <c r="AH7" s="10" t="s">
        <v>571</v>
      </c>
      <c r="AI7" s="10" t="s">
        <v>572</v>
      </c>
      <c r="AJ7" s="10" t="s">
        <v>573</v>
      </c>
      <c r="AK7" s="10" t="s">
        <v>574</v>
      </c>
      <c r="AL7" s="10" t="s">
        <v>575</v>
      </c>
      <c r="AM7" s="10" t="s">
        <v>576</v>
      </c>
      <c r="AN7" s="10" t="s">
        <v>577</v>
      </c>
      <c r="AO7" s="10" t="s">
        <v>578</v>
      </c>
      <c r="AP7" s="10" t="s">
        <v>579</v>
      </c>
      <c r="AQ7" s="10" t="s">
        <v>179</v>
      </c>
      <c r="AR7" s="10" t="s">
        <v>580</v>
      </c>
      <c r="AS7" s="10" t="s">
        <v>581</v>
      </c>
      <c r="AT7" s="10" t="s">
        <v>197</v>
      </c>
      <c r="AU7" s="10" t="s">
        <v>582</v>
      </c>
      <c r="AV7" s="10" t="s">
        <v>583</v>
      </c>
      <c r="AW7" s="10" t="s">
        <v>119</v>
      </c>
      <c r="AX7" s="10" t="s">
        <v>198</v>
      </c>
      <c r="AY7" s="10" t="s">
        <v>584</v>
      </c>
      <c r="AZ7" s="10" t="s">
        <v>585</v>
      </c>
      <c r="BA7" s="10" t="s">
        <v>586</v>
      </c>
      <c r="BB7" s="10" t="s">
        <v>587</v>
      </c>
      <c r="BC7" s="10" t="s">
        <v>588</v>
      </c>
      <c r="BD7" s="10" t="s">
        <v>589</v>
      </c>
      <c r="BE7" s="10" t="s">
        <v>590</v>
      </c>
      <c r="BF7" s="10" t="s">
        <v>591</v>
      </c>
      <c r="BG7" s="10" t="s">
        <v>280</v>
      </c>
      <c r="BH7" s="10" t="s">
        <v>592</v>
      </c>
      <c r="BI7" s="10" t="s">
        <v>121</v>
      </c>
      <c r="BJ7" s="10" t="s">
        <v>593</v>
      </c>
      <c r="BK7" s="10" t="s">
        <v>594</v>
      </c>
      <c r="BL7" s="10" t="s">
        <v>595</v>
      </c>
      <c r="BM7" s="10" t="s">
        <v>596</v>
      </c>
      <c r="BN7" s="10" t="s">
        <v>597</v>
      </c>
      <c r="BO7" s="10" t="s">
        <v>598</v>
      </c>
      <c r="BP7" s="10" t="s">
        <v>599</v>
      </c>
      <c r="BQ7" s="10" t="s">
        <v>600</v>
      </c>
      <c r="BR7" s="10" t="s">
        <v>601</v>
      </c>
      <c r="BS7" s="10" t="s">
        <v>602</v>
      </c>
      <c r="BT7" s="10" t="s">
        <v>603</v>
      </c>
      <c r="BU7" s="10" t="s">
        <v>322</v>
      </c>
      <c r="BV7" s="10" t="s">
        <v>321</v>
      </c>
      <c r="BW7" s="10" t="s">
        <v>604</v>
      </c>
      <c r="BX7" s="10" t="s">
        <v>605</v>
      </c>
      <c r="BY7" s="10" t="s">
        <v>606</v>
      </c>
      <c r="BZ7" s="10" t="s">
        <v>607</v>
      </c>
      <c r="CA7" s="10" t="s">
        <v>608</v>
      </c>
      <c r="CB7" s="6" t="s">
        <v>609</v>
      </c>
    </row>
    <row r="8" ht="13.5" customHeight="1">
      <c r="A8" s="7"/>
      <c r="B8" s="7"/>
      <c r="C8" s="7"/>
      <c r="D8" s="7"/>
      <c r="E8" s="9"/>
      <c r="F8" s="9"/>
      <c r="G8" s="9"/>
      <c r="H8" s="4"/>
      <c r="I8" s="4"/>
      <c r="J8" s="4"/>
      <c r="K8" s="7"/>
      <c r="L8" s="4"/>
      <c r="M8" s="4"/>
      <c r="N8" s="4"/>
      <c r="O8" s="4"/>
      <c r="P8" s="4"/>
      <c r="Q8" s="4"/>
      <c r="R8" s="4"/>
      <c r="S8" s="7"/>
      <c r="T8" s="7"/>
      <c r="U8" s="7"/>
      <c r="V8" s="7"/>
      <c r="W8" s="10" t="s">
        <v>325</v>
      </c>
      <c r="X8" s="10" t="s">
        <v>610</v>
      </c>
      <c r="Y8" s="10" t="s">
        <v>611</v>
      </c>
      <c r="Z8" s="10" t="s">
        <v>612</v>
      </c>
      <c r="AA8" s="10" t="s">
        <v>374</v>
      </c>
      <c r="AB8" s="10" t="s">
        <v>613</v>
      </c>
      <c r="AC8" s="10" t="s">
        <v>372</v>
      </c>
      <c r="AD8" s="10" t="s">
        <v>371</v>
      </c>
      <c r="AE8" s="10" t="s">
        <v>135</v>
      </c>
      <c r="AF8" s="10" t="s">
        <v>149</v>
      </c>
      <c r="AG8" s="10" t="s">
        <v>150</v>
      </c>
      <c r="AH8" s="10" t="s">
        <v>614</v>
      </c>
      <c r="AI8" s="10" t="s">
        <v>572</v>
      </c>
      <c r="AJ8" s="10" t="s">
        <v>615</v>
      </c>
      <c r="AK8" s="10" t="s">
        <v>616</v>
      </c>
      <c r="AL8" s="10" t="s">
        <v>617</v>
      </c>
      <c r="AM8" s="10" t="s">
        <v>618</v>
      </c>
      <c r="AN8" s="10" t="s">
        <v>619</v>
      </c>
      <c r="AO8" s="10" t="s">
        <v>620</v>
      </c>
      <c r="AP8" s="10" t="s">
        <v>621</v>
      </c>
      <c r="AQ8" s="10" t="s">
        <v>397</v>
      </c>
      <c r="AR8" s="10" t="s">
        <v>622</v>
      </c>
      <c r="AS8" s="10" t="s">
        <v>623</v>
      </c>
      <c r="AT8" s="10" t="s">
        <v>197</v>
      </c>
      <c r="AU8" s="10" t="s">
        <v>624</v>
      </c>
      <c r="AV8" s="10" t="s">
        <v>625</v>
      </c>
      <c r="AW8" s="10" t="s">
        <v>373</v>
      </c>
      <c r="AX8" s="10" t="s">
        <v>415</v>
      </c>
      <c r="AY8" s="10" t="s">
        <v>584</v>
      </c>
      <c r="AZ8" s="10" t="s">
        <v>585</v>
      </c>
      <c r="BA8" s="10" t="s">
        <v>626</v>
      </c>
      <c r="BB8" s="10" t="s">
        <v>627</v>
      </c>
      <c r="BC8" s="10" t="s">
        <v>353</v>
      </c>
      <c r="BD8" s="10" t="s">
        <v>628</v>
      </c>
      <c r="BE8" s="10" t="s">
        <v>629</v>
      </c>
      <c r="BF8" s="10" t="s">
        <v>630</v>
      </c>
      <c r="BG8" s="10" t="s">
        <v>280</v>
      </c>
      <c r="BH8" s="10" t="s">
        <v>631</v>
      </c>
      <c r="BI8" s="10" t="s">
        <v>375</v>
      </c>
      <c r="BJ8" s="10" t="s">
        <v>632</v>
      </c>
      <c r="BK8" s="10" t="s">
        <v>594</v>
      </c>
      <c r="BL8" s="10" t="s">
        <v>595</v>
      </c>
      <c r="BM8" s="10" t="s">
        <v>633</v>
      </c>
      <c r="BN8" s="10" t="s">
        <v>634</v>
      </c>
      <c r="BO8" s="10" t="s">
        <v>635</v>
      </c>
      <c r="BP8" s="10" t="s">
        <v>636</v>
      </c>
      <c r="BQ8" s="10" t="s">
        <v>637</v>
      </c>
      <c r="BR8" s="10" t="s">
        <v>601</v>
      </c>
      <c r="BS8" s="10" t="s">
        <v>638</v>
      </c>
      <c r="BT8" s="10" t="s">
        <v>639</v>
      </c>
      <c r="BU8" s="10" t="s">
        <v>473</v>
      </c>
      <c r="BV8" s="10" t="s">
        <v>472</v>
      </c>
      <c r="BW8" s="10" t="s">
        <v>640</v>
      </c>
      <c r="BX8" s="10" t="s">
        <v>352</v>
      </c>
      <c r="BY8" s="10" t="s">
        <v>641</v>
      </c>
      <c r="BZ8" s="10" t="s">
        <v>642</v>
      </c>
      <c r="CA8" s="10" t="s">
        <v>643</v>
      </c>
      <c r="CB8" s="6" t="s">
        <v>644</v>
      </c>
    </row>
    <row r="9" ht="17.25" customHeight="1">
      <c r="A9" s="7"/>
      <c r="B9" s="17" t="str">
        <f>VLOOKUP($K$9,$W$7:$CB$8,58,0)</f>
        <v>Datos del Atleta</v>
      </c>
      <c r="C9" s="18"/>
      <c r="D9" s="18"/>
      <c r="E9" s="9"/>
      <c r="F9" s="19"/>
      <c r="K9" s="20" t="s">
        <v>59</v>
      </c>
      <c r="L9" s="4"/>
      <c r="M9" s="4"/>
      <c r="N9" s="4"/>
      <c r="Q9" s="4"/>
      <c r="R9" s="4"/>
      <c r="S9" s="7"/>
      <c r="T9" s="7"/>
      <c r="U9" s="7"/>
      <c r="V9" s="7"/>
      <c r="W9" s="10"/>
      <c r="AF9" s="10"/>
    </row>
    <row r="10" ht="45.0" customHeight="1">
      <c r="A10" s="7"/>
      <c r="B10" s="21" t="s">
        <v>645</v>
      </c>
      <c r="C10" s="22" t="str">
        <f>VLOOKUP($K$9,$W$5:$AE$6,2,0)</f>
        <v>Apellido</v>
      </c>
      <c r="D10" s="22" t="str">
        <f>VLOOKUP($K$9,$W$5:$AE$6,3,0)</f>
        <v>Nombre</v>
      </c>
      <c r="E10" s="22" t="str">
        <f>VLOOKUP($K$9,$W$5:$AE$6,4,0)</f>
        <v>Genero</v>
      </c>
      <c r="F10" s="22" t="str">
        <f>VLOOKUP($K$9,$W$5:$AE$6,5,0)</f>
        <v>Evento Deportivo</v>
      </c>
      <c r="G10" s="23" t="str">
        <f>VLOOKUP($K$9,$W$5:KX$6,8,0)</f>
        <v>ID de Federación Internacional</v>
      </c>
      <c r="H10" s="24" t="str">
        <f>VLOOKUP($K$9,$W$5:KX$6,48,0)</f>
        <v>Información del Caballo</v>
      </c>
      <c r="I10" s="25"/>
      <c r="J10" s="25"/>
      <c r="K10" s="26"/>
      <c r="L10" s="4"/>
      <c r="M10" s="4"/>
      <c r="N10" s="4"/>
      <c r="O10" s="4"/>
      <c r="P10" s="4"/>
      <c r="Q10" s="4"/>
      <c r="R10" s="4"/>
      <c r="S10" s="7"/>
      <c r="T10" s="7"/>
      <c r="U10" s="7"/>
      <c r="V10" s="7"/>
      <c r="W10" s="10"/>
    </row>
    <row r="11" ht="13.5" customHeight="1">
      <c r="A11" s="27"/>
      <c r="B11" s="28">
        <v>1.0</v>
      </c>
      <c r="C11" s="29"/>
      <c r="D11" s="29"/>
      <c r="E11" s="28"/>
      <c r="F11" s="28"/>
      <c r="G11" s="28"/>
      <c r="H11" s="30" t="str">
        <f>VLOOKUP($K$9,$W$5:KX$6,33,0)</f>
        <v>ID de Caballo</v>
      </c>
      <c r="I11" s="31"/>
      <c r="J11" s="32"/>
      <c r="K11" s="33"/>
      <c r="L11" s="4"/>
      <c r="M11" s="4"/>
      <c r="N11" s="4"/>
      <c r="O11" s="4"/>
      <c r="P11" s="4"/>
      <c r="Q11" s="4"/>
      <c r="R11" s="4"/>
      <c r="S11" s="27"/>
      <c r="T11" s="27"/>
      <c r="U11" s="27"/>
      <c r="V11" s="27"/>
      <c r="W11" s="10"/>
      <c r="X11" s="10" t="s">
        <v>646</v>
      </c>
      <c r="Y11" s="10" t="s">
        <v>647</v>
      </c>
      <c r="Z11" s="10" t="s">
        <v>648</v>
      </c>
      <c r="AA11" s="10" t="s">
        <v>649</v>
      </c>
      <c r="AB11" s="10" t="s">
        <v>650</v>
      </c>
      <c r="AC11" s="10" t="s">
        <v>651</v>
      </c>
      <c r="AD11" s="10" t="s">
        <v>652</v>
      </c>
      <c r="AE11" s="10" t="s">
        <v>653</v>
      </c>
      <c r="AF11" s="10" t="s">
        <v>654</v>
      </c>
      <c r="AG11" s="10" t="s">
        <v>655</v>
      </c>
      <c r="AH11" s="10" t="s">
        <v>656</v>
      </c>
      <c r="AI11" s="10" t="s">
        <v>657</v>
      </c>
      <c r="AJ11" s="10" t="s">
        <v>658</v>
      </c>
      <c r="AK11" s="10" t="s">
        <v>659</v>
      </c>
      <c r="AL11" s="10" t="s">
        <v>660</v>
      </c>
      <c r="AM11" s="10" t="s">
        <v>661</v>
      </c>
      <c r="AN11" s="10" t="s">
        <v>662</v>
      </c>
      <c r="AO11" s="10" t="s">
        <v>663</v>
      </c>
      <c r="AP11" s="10" t="s">
        <v>664</v>
      </c>
      <c r="AQ11" s="10" t="s">
        <v>665</v>
      </c>
      <c r="AR11" s="10" t="s">
        <v>666</v>
      </c>
      <c r="AS11" s="10" t="s">
        <v>667</v>
      </c>
      <c r="AT11" s="10" t="s">
        <v>668</v>
      </c>
      <c r="AU11" s="10" t="s">
        <v>669</v>
      </c>
      <c r="AV11" s="10" t="s">
        <v>670</v>
      </c>
      <c r="AW11" s="10" t="s">
        <v>671</v>
      </c>
      <c r="AX11" s="10" t="s">
        <v>672</v>
      </c>
      <c r="AY11" s="10" t="s">
        <v>673</v>
      </c>
      <c r="AZ11" s="10" t="s">
        <v>674</v>
      </c>
      <c r="BA11" s="10" t="s">
        <v>675</v>
      </c>
      <c r="BB11" s="10" t="s">
        <v>676</v>
      </c>
      <c r="BC11" s="10" t="s">
        <v>677</v>
      </c>
      <c r="BD11" s="10" t="s">
        <v>678</v>
      </c>
      <c r="BE11" s="10" t="s">
        <v>679</v>
      </c>
      <c r="BF11" s="10" t="s">
        <v>680</v>
      </c>
      <c r="BG11" s="10" t="s">
        <v>681</v>
      </c>
      <c r="BH11" s="10" t="s">
        <v>682</v>
      </c>
      <c r="BI11" s="10" t="s">
        <v>683</v>
      </c>
      <c r="BJ11" s="10" t="s">
        <v>684</v>
      </c>
      <c r="BK11" s="10" t="s">
        <v>685</v>
      </c>
      <c r="BL11" s="10" t="s">
        <v>686</v>
      </c>
      <c r="BM11" s="10" t="s">
        <v>687</v>
      </c>
      <c r="BN11" s="10" t="s">
        <v>688</v>
      </c>
      <c r="BO11" s="10" t="s">
        <v>689</v>
      </c>
      <c r="BP11" s="10" t="s">
        <v>690</v>
      </c>
      <c r="BQ11" s="10" t="s">
        <v>691</v>
      </c>
      <c r="BR11" s="10" t="s">
        <v>692</v>
      </c>
      <c r="BS11" s="10" t="s">
        <v>693</v>
      </c>
      <c r="BT11" s="10" t="s">
        <v>694</v>
      </c>
      <c r="BU11" s="10" t="s">
        <v>695</v>
      </c>
      <c r="BV11" s="10" t="s">
        <v>696</v>
      </c>
      <c r="BW11" s="10" t="s">
        <v>697</v>
      </c>
      <c r="BX11" s="10" t="s">
        <v>698</v>
      </c>
      <c r="BY11" s="10" t="s">
        <v>699</v>
      </c>
      <c r="BZ11" s="10" t="s">
        <v>700</v>
      </c>
      <c r="CA11" s="10" t="s">
        <v>701</v>
      </c>
    </row>
    <row r="12" ht="13.5" customHeight="1">
      <c r="A12" s="7"/>
      <c r="B12" s="34"/>
      <c r="C12" s="34"/>
      <c r="D12" s="34"/>
      <c r="E12" s="34"/>
      <c r="F12" s="34"/>
      <c r="G12" s="34"/>
      <c r="H12" s="35" t="str">
        <f>VLOOKUP($K$9,$W$5:KX$6,34,0)</f>
        <v>Raza</v>
      </c>
      <c r="I12" s="36"/>
      <c r="J12" s="32"/>
      <c r="K12" s="33"/>
      <c r="L12" s="4"/>
      <c r="M12" s="4"/>
      <c r="N12" s="4"/>
      <c r="O12" s="4"/>
      <c r="P12" s="4"/>
      <c r="Q12" s="4"/>
      <c r="R12" s="4"/>
      <c r="S12" s="7"/>
      <c r="T12" s="7"/>
      <c r="U12" s="7"/>
      <c r="V12" s="7"/>
      <c r="W12" s="10"/>
      <c r="X12" s="7" t="str">
        <f>VLOOKUP($K$9,$W$3:$KV$4,257,0)</f>
        <v>Recurvo Individual</v>
      </c>
      <c r="Y12" s="7" t="str">
        <f>VLOOKUP($K$9,$W$3:$KV$4,200,0)</f>
        <v>Libre</v>
      </c>
      <c r="Z12" s="7" t="str">
        <f>VLOOKUP($K$9,$W$3:$KV$4,30,0)</f>
        <v>100m</v>
      </c>
      <c r="AA12" s="7" t="str">
        <f>VLOOKUP($K$9,$W$3:$KV$4,62,0)</f>
        <v>Béisbol</v>
      </c>
      <c r="AB12" s="7" t="str">
        <f>VLOOKUP($K$9,$W$3:$KV$4,56,0)</f>
        <v>Individual</v>
      </c>
      <c r="AC12" s="7" t="str">
        <f>VLOOKUP($K$9,$W$3:$KV$4,60,0)</f>
        <v>Básquetbol 3x3</v>
      </c>
      <c r="AD12" s="7" t="str">
        <f>VLOOKUP($K$9,$W$3:$KV$4,59,0)</f>
        <v>Básquetbol</v>
      </c>
      <c r="AE12" s="7" t="str">
        <f>VLOOKUP($K$9,$W$3:$KV$4,79,0)</f>
        <v>Breaking</v>
      </c>
      <c r="AF12" s="7" t="str">
        <f>VLOOKUP($K$9,$W$3:$KV$4,93,0)</f>
        <v>BMX Freestyle</v>
      </c>
      <c r="AG12" s="7" t="s">
        <v>150</v>
      </c>
      <c r="AH12" s="7" t="str">
        <f>VLOOKUP($K$9,$W$3:$KV$4,66,0)</f>
        <v>M 51 Kg</v>
      </c>
      <c r="AI12" s="7" t="str">
        <f>VLOOKUP($K$9,$W$3:$KV$4,64,0)</f>
        <v>Individual</v>
      </c>
      <c r="AJ12" s="7" t="str">
        <f>VLOOKUP($K$9,$W$3:$KV$4,110,0)</f>
        <v>Velocidad</v>
      </c>
      <c r="AK12" s="7" t="str">
        <f>VLOOKUP($K$9,$W$3:$KV$4,96,0)</f>
        <v>Contrareloj</v>
      </c>
      <c r="AL12" s="7" t="str">
        <f>VLOOKUP($K$9,$W$3:$KV$4,90,0)</f>
        <v>K1</v>
      </c>
      <c r="AM12" s="7" t="str">
        <f>VLOOKUP($K$9,$W$3:$KV$4,80,0)</f>
        <v>MK1 1,000m</v>
      </c>
      <c r="AN12" s="7" t="str">
        <f>VLOOKUP($K$9,$W$3:$KV$4,98,0)</f>
        <v>Velocidad Individual</v>
      </c>
      <c r="AO12" s="7" t="str">
        <f>VLOOKUP($K$9,$W$3:$KV$4,2,0)</f>
        <v>Individual 1m Trampolín</v>
      </c>
      <c r="AP12" s="7" t="str">
        <f>VLOOKUP($K$9,$W$3:$KV$4,104,0)</f>
        <v>Adiestramiento Individual</v>
      </c>
      <c r="AQ12" s="7" t="str">
        <f>VLOOKUP($K$9,$W$3:$KV$4,123,0)</f>
        <v>Fútbol</v>
      </c>
      <c r="AR12" s="7" t="str">
        <f>VLOOKUP($K$9,$W$3:$KV$4,112,0)</f>
        <v>Espada Individual</v>
      </c>
      <c r="AS12" s="7" t="str">
        <f>VLOOKUP($K$9,$W$3:$KV$4,124,0)</f>
        <v>Equipos</v>
      </c>
      <c r="AT12" s="7" t="str">
        <f>VLOOKUP($K$9,$W$3:$KV$4,144,0)</f>
        <v>Golf</v>
      </c>
      <c r="AU12" s="7" t="str">
        <f>VLOOKUP($K$9,$W$3:$KV$4,134,0)</f>
        <v>General Individual</v>
      </c>
      <c r="AV12" s="7" t="str">
        <f>VLOOKUP($K$9,$W$3:$KV$4,142,0)</f>
        <v>Individual</v>
      </c>
      <c r="AW12" s="7" t="str">
        <f>VLOOKUP($K$9,$W$3:$KV$4,61,0)</f>
        <v>Balonmano</v>
      </c>
      <c r="AX12" s="7" t="str">
        <f>VLOOKUP($K$9,$W$3:$KV$4,145,0)</f>
        <v>Hockey Césped</v>
      </c>
      <c r="AY12" s="7" t="str">
        <f>VLOOKUP($K$9,$W$3:$KV$4,146,0)</f>
        <v>M -60 Kg</v>
      </c>
      <c r="AZ12" s="7" t="str">
        <f>VLOOKUP($K$9,$W$3:$KV$4,161,0)</f>
        <v>Kumite M -60 Kg</v>
      </c>
      <c r="BA12" s="7" t="str">
        <f>VLOOKUP($K$9,$W$3:$KV$4,211,0)</f>
        <v>Individual</v>
      </c>
      <c r="BB12" s="7" t="str">
        <f>VLOOKUP($K$9,$W$3:$KV$4,95,0)</f>
        <v>Cross-Country</v>
      </c>
      <c r="BC12" s="7" t="str">
        <f>VLOOKUP($K$9,$W$3:$KV$4,29,0)</f>
        <v>Aguas Abiertas</v>
      </c>
      <c r="BD12" s="7" t="str">
        <f>VLOOKUP($K$9,$W$3:$KV$4,207,0)</f>
        <v>Pelota goma – Dobles Trinquete</v>
      </c>
      <c r="BE12" s="7" t="str">
        <f>VLOOKUP($K$9,$W$3:$KV$4,218,0)</f>
        <v>M1x</v>
      </c>
      <c r="BF12" s="7" t="str">
        <f>VLOOKUP($K$9,$W$3:$KV$4,214,0)</f>
        <v>Individual</v>
      </c>
      <c r="BG12" s="7" t="str">
        <f>VLOOKUP($K$9,$W$3:$KV$4,231,0)</f>
        <v>Rugby 7</v>
      </c>
      <c r="BH12" s="7" t="str">
        <f>VLOOKUP($K$9,$W$3:$KV$4,275,0)</f>
        <v>Tabla A Vela (Iqfoil)</v>
      </c>
      <c r="BI12" s="7" t="str">
        <f>VLOOKUP($K$9,$W$3:$KV$4,63,0)</f>
        <v>Sóftbol</v>
      </c>
      <c r="BJ12" s="7" t="str">
        <f>VLOOKUP($K$9,$W$3:$KV$4,263,0)</f>
        <v>Rifle 50m 3 Posiciones</v>
      </c>
      <c r="BK12" s="7" t="str">
        <f>VLOOKUP($K$9,$W$3:$KV$4,205,0)</f>
        <v>Street</v>
      </c>
      <c r="BL12" s="7" t="str">
        <f>VLOOKUP($K$9,$W$3:$KV$4,232,0)</f>
        <v>Individual</v>
      </c>
      <c r="BM12" s="7" t="str">
        <f>VLOOKUP($K$9,$W$3:$KV$4,236,0)</f>
        <v>Shortboard</v>
      </c>
      <c r="BN12" s="7" t="str">
        <f>VLOOKUP($K$9,$W$3:$KV$4,201,0)</f>
        <v>200m Meta Contra Meta</v>
      </c>
      <c r="BO12" s="7" t="str">
        <f>VLOOKUP($K$9,$W$3:$KV$4,27,0)</f>
        <v>Duetos</v>
      </c>
      <c r="BP12" s="7" t="str">
        <f>VLOOKUP($K$9,$W$3:$KV$4,7,0)</f>
        <v>50m libre</v>
      </c>
      <c r="BQ12" s="7" t="str">
        <f>VLOOKUP($K$9,$W$3:$KV$4,250,0)</f>
        <v>Individual</v>
      </c>
      <c r="BR12" s="7" t="str">
        <f>VLOOKUP($K$9,$W$3:$KV$4,240,0)</f>
        <v>M Kyorugi -58 Kg</v>
      </c>
      <c r="BS12" s="7" t="str">
        <f>VLOOKUP($K$9,$W$3:$KV$4,273,0)</f>
        <v>Individual</v>
      </c>
      <c r="BT12" s="7" t="str">
        <f>VLOOKUP($K$9,$W$3:$KV$4,253,0)</f>
        <v>Individual</v>
      </c>
      <c r="BU12" s="7" t="str">
        <f>VLOOKUP($K$9,$W$3:$KV$4,286,0)</f>
        <v>Vóleibol Playa</v>
      </c>
      <c r="BV12" s="7" t="str">
        <f>VLOOKUP($K$9,$W$3:$KV$4,285,0)</f>
        <v>Vóleibol</v>
      </c>
      <c r="BW12" s="7" t="str">
        <f>VLOOKUP($K$9,$W$3:$KV$4,172,0)</f>
        <v>M 61 Kg</v>
      </c>
      <c r="BX12" s="7" t="str">
        <f>VLOOKUP($K$9,$W$3:$KV$4,28,0)</f>
        <v>Polo Acuático</v>
      </c>
      <c r="BY12" s="7" t="str">
        <f>VLOOKUP($K$9,$W$3:$KV$4,182,0)</f>
        <v>Grecoromana 60 Kg</v>
      </c>
      <c r="BZ12" s="7" t="str">
        <f>VLOOKUP($K$9,$W$3:$KV$4,118,0)</f>
        <v>Figuras</v>
      </c>
      <c r="CA12" s="7" t="str">
        <f>VLOOKUP($K$9,$W$3:$KX$4,287,0)</f>
        <v>Masculino</v>
      </c>
    </row>
    <row r="13" ht="13.5" customHeight="1">
      <c r="A13" s="7"/>
      <c r="B13" s="34"/>
      <c r="C13" s="34"/>
      <c r="D13" s="34"/>
      <c r="E13" s="34"/>
      <c r="F13" s="34"/>
      <c r="G13" s="34"/>
      <c r="H13" s="30" t="str">
        <f>VLOOKUP($K$9,$W$5:KX$6,35,0)</f>
        <v>Color</v>
      </c>
      <c r="I13" s="31"/>
      <c r="J13" s="32"/>
      <c r="K13" s="33"/>
      <c r="L13" s="4"/>
      <c r="M13" s="4"/>
      <c r="N13" s="4"/>
      <c r="O13" s="4"/>
      <c r="P13" s="4"/>
      <c r="Q13" s="4"/>
      <c r="R13" s="4"/>
      <c r="S13" s="7"/>
      <c r="T13" s="7"/>
      <c r="U13" s="7"/>
      <c r="V13" s="7"/>
      <c r="W13" s="10"/>
      <c r="X13" s="7" t="str">
        <f>VLOOKUP($K$9,$W$3:$KV$4,258,0)</f>
        <v>Individual Compuesto</v>
      </c>
      <c r="Z13" s="7" t="str">
        <f>VLOOKUP($K$9,$W$3:$KV$4,31,0)</f>
        <v>200m</v>
      </c>
      <c r="AB13" s="7" t="str">
        <f>VLOOKUP($K$9,$W$3:$KV$4,57,0)</f>
        <v>Dobles</v>
      </c>
      <c r="AH13" s="7" t="str">
        <f>VLOOKUP($K$9,$W$3:$KV$4,67,0)</f>
        <v>M 57 Kg</v>
      </c>
      <c r="AI13" s="7" t="str">
        <f>VLOOKUP($K$9,$W$3:$KV$4,65,0)</f>
        <v>Dobles</v>
      </c>
      <c r="AJ13" s="7" t="str">
        <f>VLOOKUP($K$9,$W$3:$KV$4,111,0)</f>
        <v>Boulder &amp; Lead</v>
      </c>
      <c r="AK13" s="7" t="str">
        <f>VLOOKUP($K$9,$W$3:$KV$4,97,0)</f>
        <v>Gran Fondo</v>
      </c>
      <c r="AL13" s="7" t="str">
        <f>VLOOKUP($K$9,$W$3:$KV$4,91,0)</f>
        <v>C1</v>
      </c>
      <c r="AM13" s="7" t="str">
        <f>VLOOKUP($K$9,$W$3:$KV$4,81,0)</f>
        <v>MK2 500m</v>
      </c>
      <c r="AN13" s="7" t="str">
        <f>VLOOKUP($K$9,$W$3:$KV$4,99,0)</f>
        <v>Keirin</v>
      </c>
      <c r="AO13" s="7" t="str">
        <f>VLOOKUP($K$9,$W$3:$KV$4,3,0)</f>
        <v>Individual 3m Trampolín</v>
      </c>
      <c r="AP13" s="7" t="str">
        <f>VLOOKUP($K$9,$W$3:$KV$4,105,0)</f>
        <v>Adiestramiento Equipos</v>
      </c>
      <c r="AR13" s="7" t="str">
        <f>VLOOKUP($K$9,$W$3:$KV$4,113,0)</f>
        <v>Florete Individual</v>
      </c>
      <c r="AS13" s="7" t="str">
        <f>VLOOKUP($K$9,$W$3:$KV$4,125,0)</f>
        <v>Individual General</v>
      </c>
      <c r="AU13" s="7" t="str">
        <f>VLOOKUP($K$9,$W$3:$KV$4,135,0)</f>
        <v>Aro</v>
      </c>
      <c r="AV13" s="7" t="str">
        <f>VLOOKUP($K$9,$W$3:$KV$4,143,0)</f>
        <v>Sincronizados</v>
      </c>
      <c r="AY13" s="7" t="str">
        <f>VLOOKUP($K$9,$W$3:$KV$4,147,0)</f>
        <v>M -66 Kg</v>
      </c>
      <c r="AZ13" s="7" t="str">
        <f>VLOOKUP($K$9,$W$3:$KV$4,162,0)</f>
        <v>Kumite M -67 Kg</v>
      </c>
      <c r="BA13" s="7" t="str">
        <f>VLOOKUP($K$9,$W$3:$KV$4,212,0)</f>
        <v>Relevos</v>
      </c>
      <c r="BD13" s="7" t="str">
        <f>VLOOKUP($K$9,$W$3:$KV$4,208,0)</f>
        <v>Pelota goma – Individual (Frontón)</v>
      </c>
      <c r="BE13" s="7" t="str">
        <f>VLOOKUP($K$9,$W$3:$KV$4,219,0)</f>
        <v>M2x</v>
      </c>
      <c r="BF13" s="7" t="str">
        <f>VLOOKUP($K$9,$W$3:$KV$4,215,0)</f>
        <v>Dobles</v>
      </c>
      <c r="BH13" s="7" t="str">
        <f>VLOOKUP($K$9,$W$3:$KV$4,276,0)</f>
        <v>Bote (Ilca 7)</v>
      </c>
      <c r="BJ13" s="7" t="str">
        <f>VLOOKUP($K$9,$W$3:$KV$4,264,0)</f>
        <v>10m Rifle De Aire</v>
      </c>
      <c r="BK13" s="7" t="str">
        <f>VLOOKUP($K$9,$W$3:$KV$4,206,0)</f>
        <v>Park</v>
      </c>
      <c r="BL13" s="7" t="str">
        <f>VLOOKUP($K$9,$W$3:$KV$4,233,0)</f>
        <v>Equipos</v>
      </c>
      <c r="BM13" s="7" t="str">
        <f>VLOOKUP($K$9,$W$3:$KV$4,237,0)</f>
        <v>Sup Surf</v>
      </c>
      <c r="BN13" s="7" t="str">
        <f>VLOOKUP($K$9,$W$3:$KV$4,202,0)</f>
        <v>500m + Distancia</v>
      </c>
      <c r="BO13" s="7" t="str">
        <f>VLOOKUP($K$9,$W$3:$KV$4,26,0)</f>
        <v>Equipos</v>
      </c>
      <c r="BP13" s="7" t="str">
        <f>VLOOKUP($K$9,$W$3:$KV$4,8,0)</f>
        <v>100m libre</v>
      </c>
      <c r="BQ13" s="7" t="str">
        <f>VLOOKUP($K$9,$W$3:$KV$4,251,0)</f>
        <v>Dobles</v>
      </c>
      <c r="BR13" s="7" t="str">
        <f>VLOOKUP($K$9,$W$3:$KV$4,241,0)</f>
        <v>M Kyorugi -68 Kg</v>
      </c>
      <c r="BS13" s="7" t="str">
        <f>VLOOKUP($K$9,$W$3:$KV$4,274,0)</f>
        <v>Relevos Mixtos</v>
      </c>
      <c r="BT13" s="7" t="str">
        <f>VLOOKUP($K$9,$W$3:$KV$4,254,0)</f>
        <v>Equipos</v>
      </c>
      <c r="BW13" s="7" t="str">
        <f>VLOOKUP($K$9,$W$3:$KV$4,173,0)</f>
        <v>M 73 Kg</v>
      </c>
      <c r="BY13" s="7" t="str">
        <f>VLOOKUP($K$9,$W$3:$KV$4,183,0)</f>
        <v>Grecoromana 67 Kg</v>
      </c>
      <c r="BZ13" s="7" t="str">
        <f>VLOOKUP($K$9,$W$3:$KV$4,119,0)</f>
        <v>Slalom</v>
      </c>
      <c r="CA13" s="7" t="str">
        <f>VLOOKUP($K$9,$W$3:$KX$4,288,0)</f>
        <v>Femenino</v>
      </c>
    </row>
    <row r="14" ht="13.5" customHeight="1">
      <c r="A14" s="7"/>
      <c r="B14" s="34"/>
      <c r="C14" s="34"/>
      <c r="D14" s="34"/>
      <c r="E14" s="34"/>
      <c r="F14" s="34"/>
      <c r="G14" s="34"/>
      <c r="H14" s="35" t="str">
        <f>VLOOKUP($K$9,$W$5:KX$6,36,0)</f>
        <v>País de Nacimiento</v>
      </c>
      <c r="I14" s="36"/>
      <c r="J14" s="32"/>
      <c r="K14" s="33"/>
      <c r="L14" s="4"/>
      <c r="M14" s="4"/>
      <c r="N14" s="4"/>
      <c r="O14" s="4"/>
      <c r="P14" s="4"/>
      <c r="Q14" s="4"/>
      <c r="R14" s="4"/>
      <c r="S14" s="7"/>
      <c r="T14" s="7"/>
      <c r="U14" s="7"/>
      <c r="V14" s="7"/>
      <c r="W14" s="10"/>
      <c r="X14" s="7" t="str">
        <f>VLOOKUP($K$9,$W$3:$KV$4,259,0)</f>
        <v>Equipo Recurvo</v>
      </c>
      <c r="Z14" s="7" t="str">
        <f>VLOOKUP($K$9,$W$3:$KV$4,32,0)</f>
        <v>400m</v>
      </c>
      <c r="AB14" s="7" t="str">
        <f>VLOOKUP($K$9,$W$3:$KV$4,58,0)</f>
        <v>Dobles Mixto</v>
      </c>
      <c r="AH14" s="7" t="str">
        <f>VLOOKUP($K$9,$W$3:$KV$4,68,0)</f>
        <v>M 63.5 Kg</v>
      </c>
      <c r="AI14" s="7"/>
      <c r="AL14" s="7" t="str">
        <f>VLOOKUP($K$9,$W$3:$KV$4,92,0)</f>
        <v>K1 Extreme</v>
      </c>
      <c r="AM14" s="7" t="str">
        <f>VLOOKUP($K$9,$W$3:$KV$4,82,0)</f>
        <v>MK4 500m</v>
      </c>
      <c r="AN14" s="7" t="str">
        <f>VLOOKUP($K$9,$W$3:$KV$4,100,0)</f>
        <v>Omnium</v>
      </c>
      <c r="AO14" s="7" t="str">
        <f>VLOOKUP($K$9,$W$3:$KV$4,4,0)</f>
        <v>Individual 10m Plataforma</v>
      </c>
      <c r="AP14" s="7" t="str">
        <f>VLOOKUP($K$9,$W$3:$KV$4,106,0)</f>
        <v>Evento Completo Individual</v>
      </c>
      <c r="AR14" s="7" t="str">
        <f>VLOOKUP($K$9,$W$3:$KV$4,114,0)</f>
        <v>Sable Individual</v>
      </c>
      <c r="AS14" s="7" t="str">
        <f>VLOOKUP($K$9,$W$3:$KV$4,126,0)</f>
        <v>Suelo</v>
      </c>
      <c r="AU14" s="7" t="str">
        <f>VLOOKUP($K$9,$W$3:$KV$4,136,0)</f>
        <v>Pelota</v>
      </c>
      <c r="AY14" s="7" t="str">
        <f>VLOOKUP($K$9,$W$3:$KV$4,148,0)</f>
        <v>M -73 Kg</v>
      </c>
      <c r="AZ14" s="7" t="str">
        <f>VLOOKUP($K$9,$W$3:$KV$4,163,0)</f>
        <v>Kumite M -75 Kg</v>
      </c>
      <c r="BA14" s="7" t="str">
        <f>VLOOKUP($K$9,$W$3:$KV$4,213,0)</f>
        <v>Relevos Mixtos</v>
      </c>
      <c r="BD14" s="7" t="str">
        <f>VLOOKUP($K$9,$W$3:$KV$4,209,0)</f>
        <v>Frontenis -Dobles (Frontón)</v>
      </c>
      <c r="BE14" s="7" t="str">
        <f>VLOOKUP($K$9,$W$3:$KV$4,220,0)</f>
        <v>M4x</v>
      </c>
      <c r="BF14" s="7" t="str">
        <f>VLOOKUP($K$9,$W$3:$KV$4,216,0)</f>
        <v>Equipos</v>
      </c>
      <c r="BH14" s="7" t="str">
        <f>VLOOKUP($K$9,$W$3:$KV$4,277,0)</f>
        <v>Bote (Ilca 6)</v>
      </c>
      <c r="BJ14" s="7" t="str">
        <f>VLOOKUP($K$9,$W$3:$KV$4,265,0)</f>
        <v>10m Pistola De Aire</v>
      </c>
      <c r="BL14" s="7" t="str">
        <f>VLOOKUP($K$9,$W$3:$KV$4,234,0)</f>
        <v>Dobles</v>
      </c>
      <c r="BM14" s="7" t="str">
        <f>VLOOKUP($K$9,$W$3:$KV$4,238,0)</f>
        <v>Sup Race</v>
      </c>
      <c r="BN14" s="7" t="str">
        <f>VLOOKUP($K$9,$W$3:$KV$4,203,0)</f>
        <v>10000m Eliminación</v>
      </c>
      <c r="BP14" s="7" t="str">
        <f>VLOOKUP($K$9,$W$3:$KV$4,9,0)</f>
        <v>200m libre</v>
      </c>
      <c r="BQ14" s="7" t="str">
        <f>VLOOKUP($K$9,$W$3:$KV$4,252,0)</f>
        <v>Dobles Mixtos</v>
      </c>
      <c r="BR14" s="7" t="str">
        <f>VLOOKUP($K$9,$W$3:$KV$4,242,0)</f>
        <v>M Kyorugi -80 Kg</v>
      </c>
      <c r="BT14" s="7" t="str">
        <f>VLOOKUP($K$9,$W$3:$KV$4,255,0)</f>
        <v>Dobles</v>
      </c>
      <c r="BW14" s="7" t="str">
        <f>VLOOKUP($K$9,$W$3:$KV$4,174,0)</f>
        <v>M 89 Kg</v>
      </c>
      <c r="BY14" s="7" t="str">
        <f>VLOOKUP($K$9,$W$3:$KV$4,184,0)</f>
        <v>Grecoromana 77 Kg</v>
      </c>
      <c r="BZ14" s="7" t="str">
        <f>VLOOKUP($K$9,$W$3:$KV$4,120,0)</f>
        <v>Salto</v>
      </c>
    </row>
    <row r="15" ht="13.5" customHeight="1">
      <c r="A15" s="7"/>
      <c r="B15" s="34"/>
      <c r="C15" s="34"/>
      <c r="D15" s="34"/>
      <c r="E15" s="34"/>
      <c r="F15" s="34"/>
      <c r="G15" s="34"/>
      <c r="H15" s="30" t="str">
        <f>VLOOKUP($K$9,$W$5:KX$6,37,0)</f>
        <v>Caballerango</v>
      </c>
      <c r="I15" s="31"/>
      <c r="J15" s="32"/>
      <c r="K15" s="33"/>
      <c r="L15" s="4"/>
      <c r="M15" s="4"/>
      <c r="N15" s="4"/>
      <c r="O15" s="4"/>
      <c r="P15" s="4"/>
      <c r="Q15" s="4"/>
      <c r="R15" s="4"/>
      <c r="S15" s="7"/>
      <c r="T15" s="7"/>
      <c r="U15" s="7"/>
      <c r="V15" s="7"/>
      <c r="W15" s="10"/>
      <c r="X15" s="7" t="str">
        <f>VLOOKUP($K$9,$W$3:$KV$4,260,0)</f>
        <v>Equipo Compuesto</v>
      </c>
      <c r="Z15" s="7" t="str">
        <f>VLOOKUP($K$9,$W$3:$KV$4,33,0)</f>
        <v>800m</v>
      </c>
      <c r="AB15" s="7"/>
      <c r="AH15" s="7" t="str">
        <f>VLOOKUP($K$9,$W$3:$KV$4,69,0)</f>
        <v>M 71 Kg</v>
      </c>
      <c r="AL15" s="7"/>
      <c r="AM15" s="7" t="str">
        <f>VLOOKUP($K$9,$W$3:$KV$4,83,0)</f>
        <v>MC1 1,000m</v>
      </c>
      <c r="AN15" s="7" t="str">
        <f>VLOOKUP($K$9,$W$3:$KV$4,101,0)</f>
        <v>Velocidad Equipos</v>
      </c>
      <c r="AO15" s="7" t="str">
        <f>VLOOKUP($K$9,$W$3:$KV$4,5,0)</f>
        <v>Sincronizados 3m Trampolín</v>
      </c>
      <c r="AP15" s="7" t="str">
        <f>VLOOKUP($K$9,$W$3:$KV$4,107,0)</f>
        <v>Evento Completo Equipos</v>
      </c>
      <c r="AR15" s="7" t="str">
        <f>VLOOKUP($K$9,$W$3:$KV$4,115,0)</f>
        <v>Espada Equipos</v>
      </c>
      <c r="AS15" s="7" t="str">
        <f>VLOOKUP($K$9,$W$3:$KV$4,127,0)</f>
        <v>Caballo Con Arzones</v>
      </c>
      <c r="AU15" s="7" t="str">
        <f>VLOOKUP($K$9,$W$3:$KV$4,137,0)</f>
        <v>Mazas</v>
      </c>
      <c r="AY15" s="7" t="str">
        <f>VLOOKUP($K$9,$W$3:$KV$4,149,0)</f>
        <v>M -81 Kg</v>
      </c>
      <c r="AZ15" s="7" t="str">
        <f>VLOOKUP($K$9,$W$3:$KV$4,164,0)</f>
        <v>Kumite M -84 Kg</v>
      </c>
      <c r="BD15" s="7" t="str">
        <f>VLOOKUP($K$9,$W$3:$KV$4,210,0)</f>
        <v>Frontball</v>
      </c>
      <c r="BE15" s="7" t="str">
        <f>VLOOKUP($K$9,$W$3:$KV$4,221,0)</f>
        <v>M2-</v>
      </c>
      <c r="BF15" s="7" t="str">
        <f>VLOOKUP($K$9,$W$3:$KV$4,217,0)</f>
        <v>Dobles Mixtos</v>
      </c>
      <c r="BH15" s="7" t="str">
        <f>VLOOKUP($K$9,$W$3:$KV$4,278,0)</f>
        <v>Bote (Sunfish)</v>
      </c>
      <c r="BJ15" s="7" t="str">
        <f>VLOOKUP($K$9,$W$3:$KV$4,266,0)</f>
        <v>25m Pistola De Fuego Rapido</v>
      </c>
      <c r="BL15" s="7" t="str">
        <f>VLOOKUP($K$9,$W$3:$KV$4,235,0)</f>
        <v>Dobles Mixtos</v>
      </c>
      <c r="BM15" s="7" t="str">
        <f>VLOOKUP($K$9,$W$3:$KV$4,239,0)</f>
        <v>Longboard</v>
      </c>
      <c r="BN15" s="7" t="str">
        <f>VLOOKUP($K$9,$W$3:$KV$4,204,0)</f>
        <v>1000m Sprint</v>
      </c>
      <c r="BP15" s="7" t="str">
        <f>VLOOKUP($K$9,$W$3:$KV$4,10,0)</f>
        <v>400m libre</v>
      </c>
      <c r="BR15" s="7" t="str">
        <f>VLOOKUP($K$9,$W$3:$KV$4,243,0)</f>
        <v>M Kyorugi +80 Kg</v>
      </c>
      <c r="BT15" s="7" t="str">
        <f>VLOOKUP($K$9,$W$3:$KV$4,256,0)</f>
        <v>Dobles Mixtos</v>
      </c>
      <c r="BW15" s="7" t="str">
        <f>VLOOKUP($K$9,$W$3:$KV$4,175,0)</f>
        <v>M 102 Kg</v>
      </c>
      <c r="BY15" s="7" t="str">
        <f>VLOOKUP($K$9,$W$3:$KV$4,185,0)</f>
        <v>Grecoromana 87 Kg</v>
      </c>
      <c r="BZ15" s="7" t="str">
        <f>VLOOKUP($K$9,$W$3:$KV$4,121,0)</f>
        <v>Overall</v>
      </c>
    </row>
    <row r="16" ht="13.5" customHeight="1">
      <c r="A16" s="7"/>
      <c r="B16" s="34"/>
      <c r="C16" s="34"/>
      <c r="D16" s="34"/>
      <c r="E16" s="34"/>
      <c r="F16" s="34"/>
      <c r="G16" s="34"/>
      <c r="H16" s="35" t="str">
        <f>VLOOKUP($K$9,$W$5:KX$6,38,0)</f>
        <v>Nombre del caballo</v>
      </c>
      <c r="I16" s="36"/>
      <c r="J16" s="32"/>
      <c r="K16" s="33"/>
      <c r="L16" s="4"/>
      <c r="M16" s="4"/>
      <c r="N16" s="4"/>
      <c r="O16" s="4"/>
      <c r="P16" s="4"/>
      <c r="Q16" s="4"/>
      <c r="R16" s="4"/>
      <c r="S16" s="7"/>
      <c r="T16" s="7"/>
      <c r="U16" s="7"/>
      <c r="V16" s="7"/>
      <c r="W16" s="10"/>
      <c r="X16" s="7" t="str">
        <f>VLOOKUP($K$9,$W$3:$KV$4,261,0)</f>
        <v>Equipo Recurvo Mixto</v>
      </c>
      <c r="Z16" s="7" t="str">
        <f>VLOOKUP($K$9,$W$3:$KV$4,34,0)</f>
        <v>1500m</v>
      </c>
      <c r="AH16" s="7" t="str">
        <f>VLOOKUP($K$9,$W$3:$KV$4,70,0)</f>
        <v>M 80 Kg</v>
      </c>
      <c r="AL16" s="7"/>
      <c r="AM16" s="7" t="str">
        <f>VLOOKUP($K$9,$W$3:$KV$4,84,0)</f>
        <v>MC2 500m</v>
      </c>
      <c r="AN16" s="7" t="str">
        <f>VLOOKUP($K$9,$W$3:$KV$4,102,0)</f>
        <v>Persecución Equipos</v>
      </c>
      <c r="AO16" s="7" t="str">
        <f>VLOOKUP($K$9,$W$3:$KV$4,6,0)</f>
        <v>Sincronizados 10m Plataforma</v>
      </c>
      <c r="AP16" s="7" t="str">
        <f>VLOOKUP($K$9,$W$3:$KV$4,108,0)</f>
        <v>Salto Individual</v>
      </c>
      <c r="AR16" s="7" t="str">
        <f>VLOOKUP($K$9,$W$3:$KV$4,116,0)</f>
        <v>Florete Equipos</v>
      </c>
      <c r="AS16" s="7" t="str">
        <f>VLOOKUP($K$9,$W$3:$KV$4,128,0)</f>
        <v>Anillas</v>
      </c>
      <c r="AU16" s="7" t="str">
        <f>VLOOKUP($K$9,$W$3:$KV$4,138,0)</f>
        <v>Cinta</v>
      </c>
      <c r="AY16" s="7" t="str">
        <f>VLOOKUP($K$9,$W$3:$KV$4,150,0)</f>
        <v>M -90 Kg</v>
      </c>
      <c r="AZ16" s="7" t="str">
        <f>VLOOKUP($K$9,$W$3:$KV$4,165,0)</f>
        <v>Kumite M +84 Kg</v>
      </c>
      <c r="BE16" s="7" t="str">
        <f>VLOOKUP($K$9,$W$3:$KV$4,222,0)</f>
        <v>M4-</v>
      </c>
      <c r="BF16" s="7"/>
      <c r="BH16" s="7" t="str">
        <f>VLOOKUP($K$9,$W$3:$KV$4,279,0)</f>
        <v>Skiff (49Er)</v>
      </c>
      <c r="BJ16" s="7" t="str">
        <f>VLOOKUP($K$9,$W$3:$KV$4,267,0)</f>
        <v>25m Pistola Deportiva</v>
      </c>
      <c r="BM16" s="7"/>
      <c r="BP16" s="7" t="str">
        <f>VLOOKUP($K$9,$W$3:$KV$4,11,0)</f>
        <v>800m libre</v>
      </c>
      <c r="BR16" s="7" t="str">
        <f>VLOOKUP($K$9,$W$3:$KV$4,244,0)</f>
        <v>F Kyorugi -49 Kg</v>
      </c>
      <c r="BW16" s="7" t="str">
        <f>VLOOKUP($K$9,$W$3:$KV$4,176,0)</f>
        <v>M +102 Kg</v>
      </c>
      <c r="BY16" s="7" t="str">
        <f>VLOOKUP($K$9,$W$3:$KV$4,186,0)</f>
        <v>Grecoromana 97 Kg</v>
      </c>
      <c r="BZ16" s="7" t="str">
        <f>VLOOKUP($K$9,$W$3:$KV$4,122,0)</f>
        <v>Wakeboard</v>
      </c>
    </row>
    <row r="17" ht="13.5" customHeight="1">
      <c r="A17" s="7"/>
      <c r="B17" s="34"/>
      <c r="C17" s="34"/>
      <c r="D17" s="34"/>
      <c r="E17" s="34"/>
      <c r="F17" s="34"/>
      <c r="G17" s="34"/>
      <c r="H17" s="30" t="str">
        <f>VLOOKUP($K$9,$W$5:KX$6,40,0)</f>
        <v>1° Dueño</v>
      </c>
      <c r="I17" s="31"/>
      <c r="J17" s="32"/>
      <c r="K17" s="33"/>
      <c r="L17" s="4"/>
      <c r="M17" s="4"/>
      <c r="N17" s="4"/>
      <c r="O17" s="4"/>
      <c r="P17" s="4"/>
      <c r="Q17" s="4"/>
      <c r="R17" s="4"/>
      <c r="S17" s="7"/>
      <c r="T17" s="7"/>
      <c r="U17" s="7"/>
      <c r="V17" s="7"/>
      <c r="W17" s="10"/>
      <c r="X17" s="7"/>
      <c r="Z17" s="7" t="str">
        <f>VLOOKUP($K$9,$W$3:$KV$4,35,0)</f>
        <v>5000m</v>
      </c>
      <c r="AH17" s="7" t="str">
        <f>VLOOKUP($K$9,$W$3:$KV$4,72,0)</f>
        <v>M +92 Kg</v>
      </c>
      <c r="AM17" s="7" t="str">
        <f>VLOOKUP($K$9,$W$3:$KV$4,86,0)</f>
        <v>WK2 500m</v>
      </c>
      <c r="AS17" s="7" t="str">
        <f>VLOOKUP($K$9,$W$3:$KV$4,130,0)</f>
        <v>Barras Paralelas</v>
      </c>
      <c r="AU17" s="7" t="str">
        <f>VLOOKUP($K$9,$W$3:$KV$4,140,0)</f>
        <v>5 Aros</v>
      </c>
      <c r="AY17" s="7" t="str">
        <f>VLOOKUP($K$9,$W$3:$KV$4,152,0)</f>
        <v>M +100 Kg</v>
      </c>
      <c r="AZ17" s="7" t="str">
        <f>VLOOKUP($K$9,$W$3:$KV$4,167,0)</f>
        <v>Kumite F -55 Kg</v>
      </c>
      <c r="BE17" s="7" t="str">
        <f>VLOOKUP($K$9,$W$3:$KV$4,224,0)</f>
        <v>W1x</v>
      </c>
      <c r="BH17" s="7" t="str">
        <f>VLOOKUP($K$9,$W$3:$KV$4,281,0)</f>
        <v>Kite (Fomula Kite)</v>
      </c>
      <c r="BJ17" s="7" t="str">
        <f>VLOOKUP($K$9,$W$3:$KV$4,269,0)</f>
        <v>Trap</v>
      </c>
      <c r="BP17" s="7" t="str">
        <f>VLOOKUP($K$9,$W$3:$KV$4,13,0)</f>
        <v>100m espalda</v>
      </c>
      <c r="BR17" s="7" t="str">
        <f>VLOOKUP($K$9,$W$3:$KV$4,246,0)</f>
        <v>F Kyorugi -67 Kg</v>
      </c>
      <c r="BW17" s="7" t="str">
        <f>VLOOKUP($K$9,$W$3:$KV$4,178,0)</f>
        <v>F 59 Kg</v>
      </c>
      <c r="BY17" s="7" t="str">
        <f>VLOOKUP($K$9,$W$3:$KV$4,188,0)</f>
        <v>Libre M 57 Kg</v>
      </c>
    </row>
    <row r="18" ht="13.5" customHeight="1">
      <c r="A18" s="7"/>
      <c r="B18" s="34"/>
      <c r="C18" s="34"/>
      <c r="D18" s="34"/>
      <c r="E18" s="34"/>
      <c r="F18" s="34"/>
      <c r="G18" s="34"/>
      <c r="H18" s="35" t="str">
        <f>VLOOKUP($K$9,$W$5:KX$6,41,0)</f>
        <v>2° Dueño</v>
      </c>
      <c r="I18" s="36"/>
      <c r="J18" s="32"/>
      <c r="K18" s="33"/>
      <c r="L18" s="4"/>
      <c r="M18" s="4"/>
      <c r="N18" s="4"/>
      <c r="O18" s="4"/>
      <c r="P18" s="4"/>
      <c r="Q18" s="4"/>
      <c r="R18" s="4"/>
      <c r="S18" s="7"/>
      <c r="T18" s="7"/>
      <c r="U18" s="7"/>
      <c r="V18" s="7"/>
      <c r="W18" s="10"/>
      <c r="X18" s="7"/>
      <c r="Z18" s="7" t="str">
        <f>VLOOKUP($K$9,$W$3:$KV$4,36,0)</f>
        <v>10000m</v>
      </c>
      <c r="AH18" s="7" t="str">
        <f>VLOOKUP($K$9,$W$3:$KV$4,73,0)</f>
        <v>F 50 Kg</v>
      </c>
      <c r="AM18" s="7" t="str">
        <f>VLOOKUP($K$9,$W$3:$KV$4,87,0)</f>
        <v>WK4 500M</v>
      </c>
      <c r="AS18" s="7" t="str">
        <f>VLOOKUP($K$9,$W$3:$KV$4,131,0)</f>
        <v>Barra Fija</v>
      </c>
      <c r="AU18" s="7" t="str">
        <f>VLOOKUP($K$9,$W$3:$KV$4,141,0)</f>
        <v>3 Cintas/2 Pelotas</v>
      </c>
      <c r="AY18" s="7" t="str">
        <f>VLOOKUP($K$9,$W$3:$KV$4,153,0)</f>
        <v>F -48 Kg</v>
      </c>
      <c r="AZ18" s="7" t="str">
        <f>VLOOKUP($K$9,$W$3:$KV$4,168,0)</f>
        <v>Kumite F -61 Kg</v>
      </c>
      <c r="BE18" s="7" t="str">
        <f>VLOOKUP($K$9,$W$3:$KV$4,225,0)</f>
        <v>W2x</v>
      </c>
      <c r="BH18" s="7" t="str">
        <f>VLOOKUP($K$9,$W$3:$KV$4,282,0)</f>
        <v>Mixto Catamarán (Nacra 17)</v>
      </c>
      <c r="BJ18" s="7" t="str">
        <f>VLOOKUP($K$9,$W$3:$KV$4,270,0)</f>
        <v>Mixto 10m Rifle De Aire</v>
      </c>
      <c r="BP18" s="7" t="str">
        <f>VLOOKUP($K$9,$W$3:$KV$4,14,0)</f>
        <v>200m espalda</v>
      </c>
      <c r="BR18" s="7" t="str">
        <f>VLOOKUP($K$9,$W$3:$KV$4,247,0)</f>
        <v>F Kyorugi +67 Kg</v>
      </c>
      <c r="BW18" s="7" t="str">
        <f>VLOOKUP($K$9,$W$3:$KV$4,179,0)</f>
        <v>F 71 Kg</v>
      </c>
      <c r="BY18" s="7" t="str">
        <f>VLOOKUP($K$9,$W$3:$KV$4,189,0)</f>
        <v>Libre M 65 Kg</v>
      </c>
    </row>
    <row r="19" ht="13.5" customHeight="1">
      <c r="A19" s="7"/>
      <c r="B19" s="34"/>
      <c r="C19" s="34"/>
      <c r="D19" s="34"/>
      <c r="E19" s="34"/>
      <c r="F19" s="34"/>
      <c r="G19" s="34"/>
      <c r="H19" s="30" t="str">
        <f>VLOOKUP($K$9,$W$5:KX$6,42,0)</f>
        <v>Pasaporte (N° ID FEI)</v>
      </c>
      <c r="I19" s="31"/>
      <c r="J19" s="32"/>
      <c r="K19" s="33"/>
      <c r="L19" s="4"/>
      <c r="M19" s="4"/>
      <c r="N19" s="4"/>
      <c r="O19" s="4"/>
      <c r="P19" s="4"/>
      <c r="Q19" s="4"/>
      <c r="R19" s="4"/>
      <c r="S19" s="7"/>
      <c r="T19" s="7"/>
      <c r="U19" s="7"/>
      <c r="V19" s="7"/>
      <c r="W19" s="10"/>
      <c r="X19" s="7"/>
      <c r="Z19" s="7" t="str">
        <f>VLOOKUP($K$9,$W$3:$KV$4,37,0)</f>
        <v>110 / 100 vallas</v>
      </c>
      <c r="AH19" s="7" t="str">
        <f>VLOOKUP($K$9,$W$3:$KV$4,74,0)</f>
        <v>F 54 Kg</v>
      </c>
      <c r="AM19" s="7" t="str">
        <f>VLOOKUP($K$9,$W$3:$KV$4,88,0)</f>
        <v>WC1 200m</v>
      </c>
      <c r="AS19" s="7" t="str">
        <f>VLOOKUP($K$9,$W$3:$KV$4,132,0)</f>
        <v>Barras Asimétricas</v>
      </c>
      <c r="AY19" s="7" t="str">
        <f>VLOOKUP($K$9,$W$3:$KV$4,154,0)</f>
        <v>F -52 Kg</v>
      </c>
      <c r="AZ19" s="7" t="str">
        <f>VLOOKUP($K$9,$W$3:$KV$4,169,0)</f>
        <v>Kumite F -68 Kg </v>
      </c>
      <c r="BE19" s="7" t="str">
        <f>VLOOKUP($K$9,$W$3:$KV$4,226,0)</f>
        <v>W4x</v>
      </c>
      <c r="BH19" s="7" t="str">
        <f>VLOOKUP($K$9,$W$3:$KV$4,283,0)</f>
        <v>Mixto Bote (Snipe)</v>
      </c>
      <c r="BJ19" s="7" t="str">
        <f>VLOOKUP($K$9,$W$3:$KV$4,271,0)</f>
        <v>Mixto 10m Pistola De Aire</v>
      </c>
      <c r="BP19" s="7" t="str">
        <f>VLOOKUP($K$9,$W$3:$KV$4,15,0)</f>
        <v>100m pecho</v>
      </c>
      <c r="BR19" s="7" t="str">
        <f>VLOOKUP($K$9,$W$3:$KV$4,248,0)</f>
        <v>Poomsae Tradicional Individual</v>
      </c>
      <c r="BW19" s="7" t="str">
        <f>VLOOKUP($K$9,$W$3:$KV$4,180,0)</f>
        <v>F 81 Kg</v>
      </c>
      <c r="BY19" s="7" t="str">
        <f>VLOOKUP($K$9,$W$3:$KV$4,190,0)</f>
        <v>Libre M 74 Kg</v>
      </c>
    </row>
    <row r="20" ht="16.5" customHeight="1">
      <c r="A20" s="19"/>
      <c r="B20" s="34"/>
      <c r="C20" s="34"/>
      <c r="D20" s="34"/>
      <c r="E20" s="34"/>
      <c r="F20" s="34"/>
      <c r="G20" s="34"/>
      <c r="H20" s="35" t="str">
        <f>VLOOKUP($K$9,$W$5:KX$6,44,0)</f>
        <v>Género</v>
      </c>
      <c r="I20" s="36"/>
      <c r="J20" s="32"/>
      <c r="K20" s="33"/>
      <c r="L20" s="4"/>
      <c r="M20" s="4"/>
      <c r="N20" s="4"/>
      <c r="O20" s="4"/>
      <c r="P20" s="4"/>
      <c r="Q20" s="4"/>
      <c r="R20" s="4"/>
      <c r="S20" s="19"/>
      <c r="T20" s="19"/>
      <c r="U20" s="19"/>
      <c r="V20" s="19"/>
      <c r="W20" s="10"/>
      <c r="X20" s="7"/>
      <c r="Z20" s="7" t="str">
        <f>VLOOKUP($K$9,$W$3:$KV$4,39,0)</f>
        <v>3000 con obstáculos</v>
      </c>
      <c r="AH20" s="7" t="str">
        <f>VLOOKUP($K$9,$W$3:$KV$4,76,0)</f>
        <v>F 60 Kg</v>
      </c>
      <c r="AY20" s="7" t="str">
        <f>VLOOKUP($K$9,$W$3:$KV$4,156,0)</f>
        <v>F -63 Kg</v>
      </c>
      <c r="AZ20" s="7" t="str">
        <f>VLOOKUP($K$9,$W$3:$KV$4,171,0)</f>
        <v>Kata</v>
      </c>
      <c r="BE20" s="7" t="str">
        <f>VLOOKUP($K$9,$W$3:$KV$4,228,0)</f>
        <v>W4-</v>
      </c>
      <c r="BH20" s="7"/>
      <c r="BP20" s="7" t="str">
        <f>VLOOKUP($K$9,$W$3:$KV$4,17,0)</f>
        <v>100m mariposa</v>
      </c>
      <c r="BY20" s="7" t="str">
        <f>VLOOKUP($K$9,$W$3:$KV$4,192,0)</f>
        <v>Libre M 97 Kg</v>
      </c>
    </row>
    <row r="21" ht="16.5" customHeight="1">
      <c r="A21" s="19"/>
      <c r="B21" s="34"/>
      <c r="C21" s="34"/>
      <c r="D21" s="34"/>
      <c r="E21" s="34"/>
      <c r="F21" s="34"/>
      <c r="G21" s="34"/>
      <c r="H21" s="30" t="str">
        <f>VLOOKUP($K$9,$W$5:KX$6,46,0)</f>
        <v>Año de Nacimiento</v>
      </c>
      <c r="I21" s="31"/>
      <c r="J21" s="32"/>
      <c r="K21" s="33"/>
      <c r="L21" s="4"/>
      <c r="M21" s="4"/>
      <c r="N21" s="4"/>
      <c r="O21" s="4"/>
      <c r="P21" s="4"/>
      <c r="Q21" s="4"/>
      <c r="R21" s="4"/>
      <c r="S21" s="19"/>
      <c r="T21" s="19"/>
      <c r="U21" s="19"/>
      <c r="V21" s="19"/>
      <c r="W21" s="10"/>
      <c r="X21" s="19"/>
      <c r="Z21" s="7" t="str">
        <f>VLOOKUP($K$9,$W$3:$KV$4,41,0)</f>
        <v>4x400m</v>
      </c>
      <c r="AH21" s="7" t="str">
        <f>VLOOKUP($K$9,$W$3:$KV$4,78,0)</f>
        <v>F 75 Kg</v>
      </c>
      <c r="AY21" s="7" t="str">
        <f>VLOOKUP($K$9,$W$3:$KV$4,158,0)</f>
        <v>F -78 Kg</v>
      </c>
      <c r="BE21" s="7" t="str">
        <f>VLOOKUP($K$9,$W$3:$KV$4,230,0)</f>
        <v>Mixto 8+</v>
      </c>
      <c r="BP21" s="7" t="str">
        <f>VLOOKUP($K$9,$W$3:$KV$4,18,0)</f>
        <v>200m mariposa</v>
      </c>
      <c r="BY21" s="7" t="str">
        <f>VLOOKUP($K$9,$W$3:$KV$4,194,0)</f>
        <v>Libre F 50 Kg</v>
      </c>
    </row>
    <row r="22" ht="13.5" customHeight="1">
      <c r="A22" s="1"/>
      <c r="B22" s="34"/>
      <c r="C22" s="34"/>
      <c r="D22" s="34"/>
      <c r="E22" s="34"/>
      <c r="F22" s="34"/>
      <c r="G22" s="34"/>
      <c r="H22" s="35" t="str">
        <f>VLOOKUP($K$9,$W$5:KX$6,47,0)</f>
        <v>Disciplina</v>
      </c>
      <c r="I22" s="36"/>
      <c r="J22" s="32"/>
      <c r="K22" s="33"/>
      <c r="L22" s="4"/>
      <c r="M22" s="4"/>
      <c r="N22" s="4"/>
      <c r="O22" s="4"/>
      <c r="P22" s="4"/>
      <c r="Q22" s="4"/>
      <c r="R22" s="4"/>
      <c r="S22" s="1"/>
      <c r="T22" s="1"/>
      <c r="U22" s="1"/>
      <c r="V22" s="1"/>
      <c r="W22" s="10"/>
      <c r="X22" s="19"/>
      <c r="Z22" s="7" t="str">
        <f>VLOOKUP($K$9,$W$3:$KV$4,42,0)</f>
        <v>Salto de Altura</v>
      </c>
      <c r="AY22" s="7" t="str">
        <f>VLOOKUP($K$9,$W$3:$KV$4,159,0)</f>
        <v>F +78 Kg</v>
      </c>
      <c r="BP22" s="7" t="str">
        <f>VLOOKUP($K$9,$W$3:$KV$4,19,0)</f>
        <v>200m combinado individual</v>
      </c>
      <c r="BY22" s="7" t="str">
        <f>VLOOKUP($K$9,$W$3:$KV$4,195,0)</f>
        <v>Libre F 53 Kg</v>
      </c>
    </row>
    <row r="23" ht="13.5" customHeight="1">
      <c r="A23" s="1"/>
      <c r="B23" s="37">
        <v>2.0</v>
      </c>
      <c r="C23" s="38"/>
      <c r="D23" s="38"/>
      <c r="E23" s="39"/>
      <c r="F23" s="39"/>
      <c r="G23" s="39"/>
      <c r="H23" s="30" t="str">
        <f>VLOOKUP($K$9,$W$5:KX$6,33,0)</f>
        <v>ID de Caballo</v>
      </c>
      <c r="I23" s="31"/>
      <c r="J23" s="32"/>
      <c r="K23" s="33"/>
      <c r="L23" s="4"/>
      <c r="M23" s="4"/>
      <c r="N23" s="4"/>
      <c r="O23" s="4"/>
      <c r="P23" s="4"/>
      <c r="Q23" s="4"/>
      <c r="R23" s="4"/>
      <c r="S23" s="1"/>
      <c r="T23" s="1"/>
      <c r="U23" s="1"/>
      <c r="V23" s="1"/>
      <c r="W23" s="10"/>
      <c r="X23" s="19"/>
      <c r="Z23" s="7" t="str">
        <f>VLOOKUP($K$9,$W$3:$KV$4,43,0)</f>
        <v>Salto de Longitud</v>
      </c>
      <c r="AY23" s="7" t="str">
        <f>VLOOKUP($K$9,$W$3:$KV$4,160,0)</f>
        <v>Equipo  mixto</v>
      </c>
      <c r="BP23" s="7" t="str">
        <f>VLOOKUP($K$9,$W$3:$KV$4,20,0)</f>
        <v>400m combinado individual</v>
      </c>
      <c r="BY23" s="7" t="str">
        <f>VLOOKUP($K$9,$W$3:$KV$4,196,0)</f>
        <v>Libre F 57 Kg</v>
      </c>
    </row>
    <row r="24" ht="13.5" customHeight="1">
      <c r="A24" s="1"/>
      <c r="B24" s="40"/>
      <c r="C24" s="40"/>
      <c r="D24" s="40"/>
      <c r="E24" s="40"/>
      <c r="F24" s="40"/>
      <c r="G24" s="40"/>
      <c r="H24" s="35" t="str">
        <f>VLOOKUP($K$9,$W$5:KX$6,34,0)</f>
        <v>Raza</v>
      </c>
      <c r="I24" s="36"/>
      <c r="J24" s="32"/>
      <c r="K24" s="33"/>
      <c r="L24" s="4"/>
      <c r="M24" s="4"/>
      <c r="N24" s="4"/>
      <c r="O24" s="4"/>
      <c r="P24" s="4"/>
      <c r="Q24" s="4"/>
      <c r="R24" s="4"/>
      <c r="S24" s="1"/>
      <c r="T24" s="1"/>
      <c r="U24" s="1"/>
      <c r="V24" s="1"/>
      <c r="W24" s="10"/>
      <c r="X24" s="19"/>
      <c r="Z24" s="7" t="str">
        <f>VLOOKUP($K$9,$W$3:$KV$4,44,0)</f>
        <v>Salto Triple</v>
      </c>
      <c r="BP24" s="7" t="str">
        <f>VLOOKUP($K$9,$W$3:$KV$4,21,0)</f>
        <v>4 x 100m posta libre</v>
      </c>
      <c r="BY24" s="7" t="str">
        <f>VLOOKUP($K$9,$W$3:$KV$4,197,0)</f>
        <v>Libre F 62 Kg</v>
      </c>
    </row>
    <row r="25" ht="13.5" customHeight="1">
      <c r="A25" s="1"/>
      <c r="B25" s="40"/>
      <c r="C25" s="40"/>
      <c r="D25" s="40"/>
      <c r="E25" s="40"/>
      <c r="F25" s="40"/>
      <c r="G25" s="40"/>
      <c r="H25" s="30" t="str">
        <f>VLOOKUP($K$9,$W$5:KX$6,35,0)</f>
        <v>Color</v>
      </c>
      <c r="I25" s="31"/>
      <c r="J25" s="32"/>
      <c r="K25" s="33"/>
      <c r="L25" s="4"/>
      <c r="M25" s="4"/>
      <c r="N25" s="4"/>
      <c r="O25" s="4"/>
      <c r="P25" s="4"/>
      <c r="Q25" s="4"/>
      <c r="R25" s="4"/>
      <c r="S25" s="1"/>
      <c r="T25" s="1"/>
      <c r="U25" s="1"/>
      <c r="V25" s="1"/>
      <c r="W25" s="10"/>
      <c r="X25" s="19"/>
      <c r="Z25" s="7" t="str">
        <f>VLOOKUP($K$9,$W$3:$KV$4,45,0)</f>
        <v>Salto con Pérdiga</v>
      </c>
      <c r="BP25" s="7" t="str">
        <f>VLOOKUP($K$9,$W$3:$KV$4,22,0)</f>
        <v>4 x 200m posta libre</v>
      </c>
      <c r="BY25" s="7" t="str">
        <f>VLOOKUP($K$9,$W$3:$KV$4,198,0)</f>
        <v>Libre F 68 Kg</v>
      </c>
    </row>
    <row r="26" ht="13.5" customHeight="1">
      <c r="A26" s="1"/>
      <c r="B26" s="40"/>
      <c r="C26" s="40"/>
      <c r="D26" s="40"/>
      <c r="E26" s="40"/>
      <c r="F26" s="40"/>
      <c r="G26" s="40"/>
      <c r="H26" s="35" t="str">
        <f>VLOOKUP($K$9,$W$5:KX$6,36,0)</f>
        <v>País de Nacimiento</v>
      </c>
      <c r="I26" s="36"/>
      <c r="J26" s="32"/>
      <c r="K26" s="33"/>
      <c r="L26" s="4"/>
      <c r="M26" s="4"/>
      <c r="N26" s="4"/>
      <c r="O26" s="4"/>
      <c r="P26" s="4"/>
      <c r="Q26" s="4"/>
      <c r="R26" s="4"/>
      <c r="S26" s="1"/>
      <c r="T26" s="1"/>
      <c r="U26" s="1"/>
      <c r="V26" s="1"/>
      <c r="W26" s="10"/>
      <c r="X26" s="19"/>
      <c r="Z26" s="7" t="str">
        <f>VLOOKUP($K$9,$W$3:$KV$4,46,0)</f>
        <v>Lanzamiento de Bala</v>
      </c>
      <c r="BP26" s="7" t="str">
        <f>VLOOKUP($K$9,$W$3:$KV$4,23,0)</f>
        <v>4 x 100m posta combinada</v>
      </c>
      <c r="BY26" s="7" t="str">
        <f>VLOOKUP($K$9,$W$3:$KV$4,199,0)</f>
        <v>Libre F 76 Kg</v>
      </c>
    </row>
    <row r="27" ht="13.5" customHeight="1">
      <c r="A27" s="1"/>
      <c r="B27" s="40"/>
      <c r="C27" s="40"/>
      <c r="D27" s="40"/>
      <c r="E27" s="40"/>
      <c r="F27" s="40"/>
      <c r="G27" s="40"/>
      <c r="H27" s="30" t="str">
        <f>VLOOKUP($K$9,$W$5:KX$6,37,0)</f>
        <v>Caballerango</v>
      </c>
      <c r="I27" s="31"/>
      <c r="J27" s="32"/>
      <c r="K27" s="33"/>
      <c r="L27" s="4"/>
      <c r="M27" s="4"/>
      <c r="N27" s="4"/>
      <c r="O27" s="4"/>
      <c r="P27" s="4"/>
      <c r="Q27" s="4"/>
      <c r="R27" s="4"/>
      <c r="S27" s="1"/>
      <c r="T27" s="1"/>
      <c r="U27" s="1"/>
      <c r="V27" s="1"/>
      <c r="W27" s="10"/>
      <c r="X27" s="19"/>
      <c r="Z27" s="7" t="str">
        <f>VLOOKUP($K$9,$W$3:$KV$4,47,0)</f>
        <v>Lanzamiento de Disco</v>
      </c>
      <c r="BP27" s="7" t="str">
        <f>VLOOKUP($K$9,$W$3:$KV$4,24,0)</f>
        <v>Mixto 4 x 100m posta libre</v>
      </c>
    </row>
    <row r="28" ht="13.5" customHeight="1">
      <c r="A28" s="1"/>
      <c r="B28" s="40"/>
      <c r="C28" s="40"/>
      <c r="D28" s="40"/>
      <c r="E28" s="40"/>
      <c r="F28" s="40"/>
      <c r="G28" s="40"/>
      <c r="H28" s="35" t="str">
        <f>VLOOKUP($K$9,$W$5:KX$6,38,0)</f>
        <v>Nombre del caballo</v>
      </c>
      <c r="I28" s="36"/>
      <c r="J28" s="32"/>
      <c r="K28" s="33"/>
      <c r="L28" s="4"/>
      <c r="M28" s="4"/>
      <c r="N28" s="4"/>
      <c r="O28" s="4"/>
      <c r="P28" s="4"/>
      <c r="Q28" s="4"/>
      <c r="R28" s="4"/>
      <c r="S28" s="1"/>
      <c r="T28" s="1"/>
      <c r="U28" s="1"/>
      <c r="V28" s="1"/>
      <c r="W28" s="10"/>
      <c r="X28" s="19"/>
      <c r="Z28" s="7" t="str">
        <f>VLOOKUP($K$9,$W$3:$KV$4,48,0)</f>
        <v>Lanzamiento de Jabalina</v>
      </c>
      <c r="BP28" s="7" t="str">
        <f>VLOOKUP($K$9,$W$3:$KV$4,25,0)</f>
        <v>Mixto 4 x 100m posta combinada</v>
      </c>
    </row>
    <row r="29" ht="13.5" customHeight="1">
      <c r="A29" s="1"/>
      <c r="B29" s="40"/>
      <c r="C29" s="40"/>
      <c r="D29" s="40"/>
      <c r="E29" s="40"/>
      <c r="F29" s="40"/>
      <c r="G29" s="40"/>
      <c r="H29" s="30" t="str">
        <f>VLOOKUP($K$9,$W$5:KX$6,40,0)</f>
        <v>1° Dueño</v>
      </c>
      <c r="I29" s="31"/>
      <c r="J29" s="32"/>
      <c r="K29" s="33"/>
      <c r="L29" s="4"/>
      <c r="M29" s="4"/>
      <c r="N29" s="4"/>
      <c r="O29" s="4"/>
      <c r="P29" s="4"/>
      <c r="Q29" s="4"/>
      <c r="R29" s="4"/>
      <c r="S29" s="1"/>
      <c r="T29" s="1"/>
      <c r="U29" s="1"/>
      <c r="V29" s="1"/>
      <c r="W29" s="10"/>
      <c r="X29" s="19"/>
      <c r="Z29" s="7" t="str">
        <f>VLOOKUP($K$9,$W$3:$KV$4,50,0)</f>
        <v>20 km marcha</v>
      </c>
    </row>
    <row r="30" ht="13.5" customHeight="1">
      <c r="A30" s="1"/>
      <c r="B30" s="40"/>
      <c r="C30" s="40"/>
      <c r="D30" s="40"/>
      <c r="E30" s="40"/>
      <c r="F30" s="40"/>
      <c r="G30" s="40"/>
      <c r="H30" s="35" t="str">
        <f>VLOOKUP($K$9,$W$5:KX$6,41,0)</f>
        <v>2° Dueño</v>
      </c>
      <c r="I30" s="36"/>
      <c r="J30" s="32"/>
      <c r="K30" s="33"/>
      <c r="L30" s="4"/>
      <c r="M30" s="4"/>
      <c r="N30" s="4"/>
      <c r="O30" s="4"/>
      <c r="P30" s="4"/>
      <c r="Q30" s="4"/>
      <c r="R30" s="4"/>
      <c r="S30" s="1"/>
      <c r="T30" s="1"/>
      <c r="U30" s="1"/>
      <c r="V30" s="1"/>
      <c r="W30" s="10"/>
      <c r="X30" s="19"/>
      <c r="Z30" s="7" t="str">
        <f>VLOOKUP($K$9,$W$3:$KV$4,51,0)</f>
        <v>Marathon</v>
      </c>
    </row>
    <row r="31" ht="13.5" customHeight="1">
      <c r="A31" s="1"/>
      <c r="B31" s="40"/>
      <c r="C31" s="40"/>
      <c r="D31" s="40"/>
      <c r="E31" s="40"/>
      <c r="F31" s="40"/>
      <c r="G31" s="40"/>
      <c r="H31" s="30" t="str">
        <f>VLOOKUP($K$9,$W$5:KX$6,42,0)</f>
        <v>Pasaporte (N° ID FEI)</v>
      </c>
      <c r="I31" s="31"/>
      <c r="J31" s="32"/>
      <c r="K31" s="33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0"/>
      <c r="X31" s="19"/>
      <c r="Z31" s="7" t="str">
        <f>VLOOKUP($K$9,$W$3:$KV$4,52,0)</f>
        <v>Decatlón</v>
      </c>
    </row>
    <row r="32" ht="13.5" customHeight="1">
      <c r="A32" s="1"/>
      <c r="B32" s="40"/>
      <c r="C32" s="40"/>
      <c r="D32" s="40"/>
      <c r="E32" s="40"/>
      <c r="F32" s="40"/>
      <c r="G32" s="40"/>
      <c r="H32" s="35" t="str">
        <f>VLOOKUP($K$9,$W$5:KX$6,44,0)</f>
        <v>Género</v>
      </c>
      <c r="I32" s="36"/>
      <c r="J32" s="32"/>
      <c r="K32" s="33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0"/>
      <c r="X32" s="19"/>
      <c r="Z32" s="7" t="str">
        <f>VLOOKUP($K$9,$W$3:$KV$4,54,0)</f>
        <v>Mixto 35 km marcha</v>
      </c>
    </row>
    <row r="33" ht="13.5" customHeight="1">
      <c r="A33" s="1"/>
      <c r="B33" s="40"/>
      <c r="C33" s="40"/>
      <c r="D33" s="40"/>
      <c r="E33" s="40"/>
      <c r="F33" s="40"/>
      <c r="G33" s="40"/>
      <c r="H33" s="30" t="str">
        <f>VLOOKUP($K$9,$W$5:KX$6,46,0)</f>
        <v>Año de Nacimiento</v>
      </c>
      <c r="I33" s="31"/>
      <c r="J33" s="32"/>
      <c r="K33" s="33"/>
      <c r="L33" s="4"/>
      <c r="M33" s="4"/>
      <c r="N33" s="4"/>
      <c r="O33" s="4"/>
      <c r="P33" s="4"/>
      <c r="Q33" s="4"/>
      <c r="R33" s="4"/>
      <c r="S33" s="1"/>
      <c r="T33" s="1"/>
      <c r="U33" s="1"/>
      <c r="V33" s="1"/>
      <c r="W33" s="10"/>
      <c r="X33" s="1"/>
    </row>
    <row r="34" ht="13.5" customHeight="1">
      <c r="A34" s="1"/>
      <c r="B34" s="40"/>
      <c r="C34" s="40"/>
      <c r="D34" s="40"/>
      <c r="E34" s="40"/>
      <c r="F34" s="40"/>
      <c r="G34" s="40"/>
      <c r="H34" s="35" t="str">
        <f>VLOOKUP($K$9,$W$5:KX$6,47,0)</f>
        <v>Disciplina</v>
      </c>
      <c r="I34" s="36"/>
      <c r="J34" s="32"/>
      <c r="K34" s="33"/>
      <c r="L34" s="4"/>
      <c r="M34" s="4"/>
      <c r="N34" s="4"/>
      <c r="O34" s="4"/>
      <c r="P34" s="4"/>
      <c r="Q34" s="4"/>
      <c r="R34" s="4"/>
      <c r="S34" s="1"/>
      <c r="T34" s="1"/>
      <c r="U34" s="1"/>
      <c r="V34" s="1"/>
      <c r="W34" s="10"/>
      <c r="X34" s="1"/>
    </row>
    <row r="35" ht="13.5" customHeight="1">
      <c r="A35" s="1"/>
      <c r="B35" s="41">
        <v>3.0</v>
      </c>
      <c r="C35" s="29"/>
      <c r="D35" s="29"/>
      <c r="E35" s="28"/>
      <c r="F35" s="28"/>
      <c r="G35" s="28"/>
      <c r="H35" s="30" t="str">
        <f>VLOOKUP($K$9,$W$5:KX$6,33,0)</f>
        <v>ID de Caballo</v>
      </c>
      <c r="I35" s="31"/>
      <c r="J35" s="32"/>
      <c r="K35" s="33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0"/>
      <c r="X35" s="1"/>
    </row>
    <row r="36" ht="13.5" customHeight="1">
      <c r="A36" s="1"/>
      <c r="B36" s="34"/>
      <c r="C36" s="34"/>
      <c r="D36" s="34"/>
      <c r="E36" s="34"/>
      <c r="F36" s="34"/>
      <c r="G36" s="34"/>
      <c r="H36" s="35" t="str">
        <f>VLOOKUP($K$9,$W$5:KX$6,34,0)</f>
        <v>Raza</v>
      </c>
      <c r="I36" s="36"/>
      <c r="J36" s="32"/>
      <c r="K36" s="33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0"/>
      <c r="X36" s="1"/>
    </row>
    <row r="37" ht="13.5" customHeight="1">
      <c r="A37" s="1"/>
      <c r="B37" s="34"/>
      <c r="C37" s="34"/>
      <c r="D37" s="34"/>
      <c r="E37" s="34"/>
      <c r="F37" s="34"/>
      <c r="G37" s="34"/>
      <c r="H37" s="30" t="str">
        <f>VLOOKUP($K$9,$W$5:KX$6,35,0)</f>
        <v>Color</v>
      </c>
      <c r="I37" s="31"/>
      <c r="J37" s="32"/>
      <c r="K37" s="33"/>
      <c r="L37" s="4"/>
      <c r="M37" s="4"/>
      <c r="N37" s="4"/>
      <c r="O37" s="4"/>
      <c r="P37" s="4"/>
      <c r="Q37" s="4"/>
      <c r="R37" s="4"/>
      <c r="S37" s="1"/>
      <c r="T37" s="1"/>
      <c r="U37" s="1"/>
      <c r="V37" s="1"/>
      <c r="W37" s="10"/>
      <c r="X37" s="1"/>
    </row>
    <row r="38" ht="13.5" customHeight="1">
      <c r="A38" s="1"/>
      <c r="B38" s="34"/>
      <c r="C38" s="34"/>
      <c r="D38" s="34"/>
      <c r="E38" s="34"/>
      <c r="F38" s="34"/>
      <c r="G38" s="34"/>
      <c r="H38" s="35" t="str">
        <f>VLOOKUP($K$9,$W$5:KX$6,36,0)</f>
        <v>País de Nacimiento</v>
      </c>
      <c r="I38" s="36"/>
      <c r="J38" s="32"/>
      <c r="K38" s="33"/>
      <c r="L38" s="4"/>
      <c r="M38" s="4"/>
      <c r="N38" s="4"/>
      <c r="O38" s="4"/>
      <c r="P38" s="4"/>
      <c r="Q38" s="4"/>
      <c r="R38" s="4"/>
      <c r="S38" s="1"/>
      <c r="T38" s="1"/>
      <c r="U38" s="1"/>
      <c r="V38" s="1"/>
      <c r="W38" s="10"/>
      <c r="X38" s="1"/>
    </row>
    <row r="39" ht="13.5" customHeight="1">
      <c r="A39" s="1"/>
      <c r="B39" s="34"/>
      <c r="C39" s="34"/>
      <c r="D39" s="34"/>
      <c r="E39" s="34"/>
      <c r="F39" s="34"/>
      <c r="G39" s="34"/>
      <c r="H39" s="30" t="str">
        <f>VLOOKUP($K$9,$W$5:KX$6,37,0)</f>
        <v>Caballerango</v>
      </c>
      <c r="I39" s="31"/>
      <c r="J39" s="32"/>
      <c r="K39" s="33"/>
      <c r="L39" s="4"/>
      <c r="M39" s="4"/>
      <c r="N39" s="4"/>
      <c r="O39" s="4"/>
      <c r="P39" s="4"/>
      <c r="Q39" s="4"/>
      <c r="R39" s="4"/>
      <c r="S39" s="1"/>
      <c r="T39" s="1"/>
      <c r="U39" s="1"/>
      <c r="V39" s="1"/>
      <c r="W39" s="10"/>
      <c r="X39" s="1"/>
    </row>
    <row r="40" ht="13.5" customHeight="1">
      <c r="A40" s="1"/>
      <c r="B40" s="34"/>
      <c r="C40" s="34"/>
      <c r="D40" s="34"/>
      <c r="E40" s="34"/>
      <c r="F40" s="34"/>
      <c r="G40" s="34"/>
      <c r="H40" s="35" t="str">
        <f>VLOOKUP($K$9,$W$5:KX$6,38,0)</f>
        <v>Nombre del caballo</v>
      </c>
      <c r="I40" s="36"/>
      <c r="J40" s="32"/>
      <c r="K40" s="33"/>
      <c r="L40" s="4"/>
      <c r="M40" s="4"/>
      <c r="N40" s="4"/>
      <c r="O40" s="4"/>
      <c r="P40" s="4"/>
      <c r="Q40" s="4"/>
      <c r="R40" s="4"/>
      <c r="S40" s="1"/>
      <c r="T40" s="1"/>
      <c r="U40" s="1"/>
      <c r="V40" s="1"/>
      <c r="W40" s="10"/>
      <c r="X40" s="1"/>
    </row>
    <row r="41" ht="13.5" customHeight="1">
      <c r="A41" s="1"/>
      <c r="B41" s="34"/>
      <c r="C41" s="34"/>
      <c r="D41" s="34"/>
      <c r="E41" s="34"/>
      <c r="F41" s="34"/>
      <c r="G41" s="34"/>
      <c r="H41" s="30" t="str">
        <f>VLOOKUP($K$9,$W$5:KX$6,40,0)</f>
        <v>1° Dueño</v>
      </c>
      <c r="I41" s="31"/>
      <c r="J41" s="32"/>
      <c r="K41" s="33"/>
      <c r="L41" s="4"/>
      <c r="M41" s="4"/>
      <c r="N41" s="4"/>
      <c r="O41" s="4"/>
      <c r="P41" s="4"/>
      <c r="Q41" s="4"/>
      <c r="R41" s="4"/>
      <c r="S41" s="1"/>
      <c r="T41" s="1"/>
      <c r="U41" s="1"/>
      <c r="V41" s="1"/>
      <c r="W41" s="10"/>
      <c r="X41" s="1"/>
    </row>
    <row r="42" ht="13.5" customHeight="1">
      <c r="A42" s="1"/>
      <c r="B42" s="34"/>
      <c r="C42" s="34"/>
      <c r="D42" s="34"/>
      <c r="E42" s="34"/>
      <c r="F42" s="34"/>
      <c r="G42" s="34"/>
      <c r="H42" s="35" t="str">
        <f>VLOOKUP($K$9,$W$5:KX$6,41,0)</f>
        <v>2° Dueño</v>
      </c>
      <c r="I42" s="36"/>
      <c r="J42" s="32"/>
      <c r="K42" s="33"/>
      <c r="L42" s="4"/>
      <c r="M42" s="4"/>
      <c r="N42" s="4"/>
      <c r="O42" s="4"/>
      <c r="P42" s="4"/>
      <c r="Q42" s="4"/>
      <c r="R42" s="4"/>
      <c r="S42" s="1"/>
      <c r="T42" s="1"/>
      <c r="U42" s="1"/>
      <c r="V42" s="1"/>
      <c r="W42" s="10"/>
      <c r="X42" s="1"/>
    </row>
    <row r="43" ht="13.5" customHeight="1">
      <c r="A43" s="1"/>
      <c r="B43" s="34"/>
      <c r="C43" s="34"/>
      <c r="D43" s="34"/>
      <c r="E43" s="34"/>
      <c r="F43" s="34"/>
      <c r="G43" s="34"/>
      <c r="H43" s="30" t="str">
        <f>VLOOKUP($K$9,$W$5:KX$6,42,0)</f>
        <v>Pasaporte (N° ID FEI)</v>
      </c>
      <c r="I43" s="31"/>
      <c r="J43" s="32"/>
      <c r="K43" s="33"/>
      <c r="L43" s="4"/>
      <c r="M43" s="4"/>
      <c r="N43" s="4"/>
      <c r="O43" s="4"/>
      <c r="P43" s="4"/>
      <c r="Q43" s="4"/>
      <c r="R43" s="4"/>
      <c r="S43" s="1"/>
      <c r="T43" s="1"/>
      <c r="U43" s="1"/>
      <c r="V43" s="1"/>
      <c r="W43" s="10"/>
      <c r="X43" s="1"/>
    </row>
    <row r="44" ht="13.5" customHeight="1">
      <c r="A44" s="1"/>
      <c r="B44" s="34"/>
      <c r="C44" s="34"/>
      <c r="D44" s="34"/>
      <c r="E44" s="34"/>
      <c r="F44" s="34"/>
      <c r="G44" s="34"/>
      <c r="H44" s="35" t="str">
        <f>VLOOKUP($K$9,$W$5:KX$6,44,0)</f>
        <v>Género</v>
      </c>
      <c r="I44" s="36"/>
      <c r="J44" s="32"/>
      <c r="K44" s="33"/>
      <c r="L44" s="4"/>
      <c r="M44" s="4"/>
      <c r="N44" s="4"/>
      <c r="O44" s="4"/>
      <c r="P44" s="4"/>
      <c r="Q44" s="4"/>
      <c r="R44" s="4"/>
      <c r="S44" s="1"/>
      <c r="T44" s="1"/>
      <c r="U44" s="1"/>
      <c r="V44" s="1"/>
      <c r="W44" s="10"/>
      <c r="X44" s="1"/>
    </row>
    <row r="45" ht="13.5" customHeight="1">
      <c r="A45" s="1"/>
      <c r="B45" s="34"/>
      <c r="C45" s="34"/>
      <c r="D45" s="34"/>
      <c r="E45" s="34"/>
      <c r="F45" s="34"/>
      <c r="G45" s="34"/>
      <c r="H45" s="30" t="str">
        <f>VLOOKUP($K$9,$W$5:KX$6,46,0)</f>
        <v>Año de Nacimiento</v>
      </c>
      <c r="I45" s="31"/>
      <c r="J45" s="32"/>
      <c r="K45" s="33"/>
      <c r="L45" s="4"/>
      <c r="M45" s="4"/>
      <c r="N45" s="4"/>
      <c r="O45" s="4"/>
      <c r="P45" s="4"/>
      <c r="Q45" s="4"/>
      <c r="R45" s="4"/>
      <c r="S45" s="1"/>
      <c r="T45" s="1"/>
      <c r="U45" s="1"/>
      <c r="V45" s="1"/>
      <c r="W45" s="10"/>
      <c r="X45" s="1"/>
    </row>
    <row r="46" ht="13.5" customHeight="1">
      <c r="A46" s="1"/>
      <c r="B46" s="34"/>
      <c r="C46" s="34"/>
      <c r="D46" s="34"/>
      <c r="E46" s="34"/>
      <c r="F46" s="34"/>
      <c r="G46" s="34"/>
      <c r="H46" s="35" t="str">
        <f>VLOOKUP($K$9,$W$5:KX$6,47,0)</f>
        <v>Disciplina</v>
      </c>
      <c r="I46" s="36"/>
      <c r="J46" s="32"/>
      <c r="K46" s="33"/>
      <c r="L46" s="4"/>
      <c r="M46" s="4"/>
      <c r="N46" s="4"/>
      <c r="O46" s="4"/>
      <c r="P46" s="4"/>
      <c r="Q46" s="4"/>
      <c r="R46" s="4"/>
      <c r="S46" s="1"/>
      <c r="T46" s="1"/>
      <c r="U46" s="1"/>
      <c r="V46" s="1"/>
      <c r="W46" s="10"/>
      <c r="X46" s="1"/>
    </row>
    <row r="47" ht="13.5" customHeight="1">
      <c r="A47" s="1"/>
      <c r="B47" s="37">
        <v>4.0</v>
      </c>
      <c r="C47" s="38"/>
      <c r="D47" s="38"/>
      <c r="E47" s="39"/>
      <c r="F47" s="39"/>
      <c r="G47" s="39"/>
      <c r="H47" s="30" t="str">
        <f>VLOOKUP($K$9,$W$5:KX$6,33,0)</f>
        <v>ID de Caballo</v>
      </c>
      <c r="I47" s="31"/>
      <c r="J47" s="32"/>
      <c r="K47" s="33"/>
      <c r="L47" s="4"/>
      <c r="M47" s="4"/>
      <c r="N47" s="4"/>
      <c r="O47" s="4"/>
      <c r="P47" s="4"/>
      <c r="Q47" s="4"/>
      <c r="R47" s="4"/>
      <c r="S47" s="1"/>
      <c r="T47" s="1"/>
      <c r="U47" s="1"/>
      <c r="V47" s="1"/>
      <c r="W47" s="10"/>
      <c r="X47" s="1"/>
    </row>
    <row r="48" ht="13.5" customHeight="1">
      <c r="A48" s="1"/>
      <c r="B48" s="40"/>
      <c r="C48" s="40"/>
      <c r="D48" s="40"/>
      <c r="E48" s="40"/>
      <c r="F48" s="40"/>
      <c r="G48" s="40"/>
      <c r="H48" s="35" t="str">
        <f>VLOOKUP($K$9,$W$5:KX$6,34,0)</f>
        <v>Raza</v>
      </c>
      <c r="I48" s="36"/>
      <c r="J48" s="32"/>
      <c r="K48" s="33"/>
      <c r="L48" s="4"/>
      <c r="M48" s="4"/>
      <c r="N48" s="4"/>
      <c r="O48" s="4"/>
      <c r="P48" s="4"/>
      <c r="Q48" s="4"/>
      <c r="R48" s="4"/>
      <c r="S48" s="1"/>
      <c r="T48" s="1"/>
      <c r="U48" s="1"/>
      <c r="V48" s="1"/>
      <c r="W48" s="10"/>
      <c r="X48" s="1"/>
    </row>
    <row r="49" ht="13.5" customHeight="1">
      <c r="A49" s="1"/>
      <c r="B49" s="40"/>
      <c r="C49" s="40"/>
      <c r="D49" s="40"/>
      <c r="E49" s="40"/>
      <c r="F49" s="40"/>
      <c r="G49" s="40"/>
      <c r="H49" s="30" t="str">
        <f>VLOOKUP($K$9,$W$5:KX$6,35,0)</f>
        <v>Color</v>
      </c>
      <c r="I49" s="31"/>
      <c r="J49" s="32"/>
      <c r="K49" s="33"/>
      <c r="L49" s="4"/>
      <c r="M49" s="4"/>
      <c r="N49" s="4"/>
      <c r="O49" s="4"/>
      <c r="P49" s="4"/>
      <c r="Q49" s="4"/>
      <c r="R49" s="4"/>
      <c r="S49" s="1"/>
      <c r="T49" s="1"/>
      <c r="U49" s="1"/>
      <c r="V49" s="1"/>
      <c r="W49" s="10"/>
      <c r="X49" s="1"/>
    </row>
    <row r="50" ht="13.5" customHeight="1">
      <c r="A50" s="1"/>
      <c r="B50" s="40"/>
      <c r="C50" s="40"/>
      <c r="D50" s="40"/>
      <c r="E50" s="40"/>
      <c r="F50" s="40"/>
      <c r="G50" s="40"/>
      <c r="H50" s="35" t="str">
        <f>VLOOKUP($K$9,$W$5:KX$6,36,0)</f>
        <v>País de Nacimiento</v>
      </c>
      <c r="I50" s="36"/>
      <c r="J50" s="32"/>
      <c r="K50" s="33"/>
      <c r="L50" s="4"/>
      <c r="M50" s="4"/>
      <c r="N50" s="4"/>
      <c r="O50" s="4"/>
      <c r="P50" s="4"/>
      <c r="Q50" s="4"/>
      <c r="R50" s="4"/>
      <c r="S50" s="1"/>
      <c r="T50" s="1"/>
      <c r="U50" s="1"/>
      <c r="V50" s="1"/>
      <c r="W50" s="10"/>
      <c r="X50" s="1"/>
    </row>
    <row r="51" ht="13.5" customHeight="1">
      <c r="A51" s="1"/>
      <c r="B51" s="40"/>
      <c r="C51" s="40"/>
      <c r="D51" s="40"/>
      <c r="E51" s="40"/>
      <c r="F51" s="40"/>
      <c r="G51" s="40"/>
      <c r="H51" s="30" t="str">
        <f>VLOOKUP($K$9,$W$5:KX$6,37,0)</f>
        <v>Caballerango</v>
      </c>
      <c r="I51" s="31"/>
      <c r="J51" s="32"/>
      <c r="K51" s="33"/>
      <c r="L51" s="4"/>
      <c r="M51" s="4"/>
      <c r="N51" s="4"/>
      <c r="O51" s="4"/>
      <c r="P51" s="4"/>
      <c r="Q51" s="4"/>
      <c r="R51" s="4"/>
      <c r="S51" s="1"/>
      <c r="T51" s="1"/>
      <c r="U51" s="1"/>
      <c r="V51" s="1"/>
      <c r="W51" s="10"/>
      <c r="X51" s="1"/>
    </row>
    <row r="52" ht="13.5" customHeight="1">
      <c r="A52" s="1"/>
      <c r="B52" s="40"/>
      <c r="C52" s="40"/>
      <c r="D52" s="40"/>
      <c r="E52" s="40"/>
      <c r="F52" s="40"/>
      <c r="G52" s="40"/>
      <c r="H52" s="35" t="str">
        <f>VLOOKUP($K$9,$W$5:KX$6,38,0)</f>
        <v>Nombre del caballo</v>
      </c>
      <c r="I52" s="36"/>
      <c r="J52" s="32"/>
      <c r="K52" s="33"/>
      <c r="L52" s="4"/>
      <c r="M52" s="4"/>
      <c r="N52" s="4"/>
      <c r="O52" s="4"/>
      <c r="P52" s="4"/>
      <c r="Q52" s="4"/>
      <c r="R52" s="4"/>
      <c r="S52" s="1"/>
      <c r="T52" s="1"/>
      <c r="U52" s="1"/>
      <c r="V52" s="1"/>
      <c r="W52" s="10"/>
      <c r="X52" s="1"/>
    </row>
    <row r="53" ht="13.5" customHeight="1">
      <c r="A53" s="1"/>
      <c r="B53" s="40"/>
      <c r="C53" s="40"/>
      <c r="D53" s="40"/>
      <c r="E53" s="40"/>
      <c r="F53" s="40"/>
      <c r="G53" s="40"/>
      <c r="H53" s="30" t="str">
        <f>VLOOKUP($K$9,$W$5:KX$6,40,0)</f>
        <v>1° Dueño</v>
      </c>
      <c r="I53" s="31"/>
      <c r="J53" s="32"/>
      <c r="K53" s="33"/>
      <c r="L53" s="4"/>
      <c r="M53" s="4"/>
      <c r="N53" s="4"/>
      <c r="O53" s="4"/>
      <c r="P53" s="4"/>
      <c r="Q53" s="4"/>
      <c r="R53" s="4"/>
      <c r="S53" s="1"/>
      <c r="T53" s="1"/>
      <c r="U53" s="1"/>
      <c r="V53" s="1"/>
      <c r="W53" s="10"/>
      <c r="X53" s="1"/>
    </row>
    <row r="54" ht="13.5" customHeight="1">
      <c r="A54" s="1"/>
      <c r="B54" s="40"/>
      <c r="C54" s="40"/>
      <c r="D54" s="40"/>
      <c r="E54" s="40"/>
      <c r="F54" s="40"/>
      <c r="G54" s="40"/>
      <c r="H54" s="35" t="str">
        <f>VLOOKUP($K$9,$W$5:KX$6,41,0)</f>
        <v>2° Dueño</v>
      </c>
      <c r="I54" s="36"/>
      <c r="J54" s="32"/>
      <c r="K54" s="33"/>
      <c r="L54" s="4"/>
      <c r="M54" s="4"/>
      <c r="N54" s="4"/>
      <c r="O54" s="4"/>
      <c r="P54" s="4"/>
      <c r="Q54" s="4"/>
      <c r="R54" s="4"/>
      <c r="S54" s="1"/>
      <c r="T54" s="1"/>
      <c r="U54" s="1"/>
      <c r="V54" s="1"/>
      <c r="W54" s="10"/>
      <c r="X54" s="1"/>
    </row>
    <row r="55" ht="13.5" customHeight="1">
      <c r="A55" s="1"/>
      <c r="B55" s="40"/>
      <c r="C55" s="40"/>
      <c r="D55" s="40"/>
      <c r="E55" s="40"/>
      <c r="F55" s="40"/>
      <c r="G55" s="40"/>
      <c r="H55" s="30" t="str">
        <f>VLOOKUP($K$9,$W$5:KX$6,42,0)</f>
        <v>Pasaporte (N° ID FEI)</v>
      </c>
      <c r="I55" s="31"/>
      <c r="J55" s="32"/>
      <c r="K55" s="33"/>
      <c r="L55" s="4"/>
      <c r="M55" s="4"/>
      <c r="N55" s="4"/>
      <c r="O55" s="4"/>
      <c r="P55" s="4"/>
      <c r="Q55" s="4"/>
      <c r="R55" s="4"/>
      <c r="S55" s="1"/>
      <c r="T55" s="1"/>
      <c r="U55" s="1"/>
      <c r="V55" s="1"/>
      <c r="W55" s="10"/>
      <c r="X55" s="1"/>
    </row>
    <row r="56" ht="13.5" customHeight="1">
      <c r="A56" s="1"/>
      <c r="B56" s="40"/>
      <c r="C56" s="40"/>
      <c r="D56" s="40"/>
      <c r="E56" s="40"/>
      <c r="F56" s="40"/>
      <c r="G56" s="40"/>
      <c r="H56" s="35" t="str">
        <f>VLOOKUP($K$9,$W$5:KX$6,44,0)</f>
        <v>Género</v>
      </c>
      <c r="I56" s="36"/>
      <c r="J56" s="32"/>
      <c r="K56" s="33"/>
      <c r="L56" s="4"/>
      <c r="M56" s="4"/>
      <c r="N56" s="4"/>
      <c r="O56" s="4"/>
      <c r="P56" s="4"/>
      <c r="Q56" s="4"/>
      <c r="R56" s="4"/>
      <c r="S56" s="1"/>
      <c r="T56" s="1"/>
      <c r="U56" s="1"/>
      <c r="V56" s="1"/>
      <c r="W56" s="10"/>
      <c r="X56" s="1"/>
    </row>
    <row r="57" ht="13.5" customHeight="1">
      <c r="A57" s="1"/>
      <c r="B57" s="40"/>
      <c r="C57" s="40"/>
      <c r="D57" s="40"/>
      <c r="E57" s="40"/>
      <c r="F57" s="40"/>
      <c r="G57" s="40"/>
      <c r="H57" s="30" t="str">
        <f>VLOOKUP($K$9,$W$5:KX$6,46,0)</f>
        <v>Año de Nacimiento</v>
      </c>
      <c r="I57" s="31"/>
      <c r="J57" s="32"/>
      <c r="K57" s="33"/>
      <c r="L57" s="4"/>
      <c r="M57" s="4"/>
      <c r="N57" s="4"/>
      <c r="O57" s="4"/>
      <c r="P57" s="4"/>
      <c r="Q57" s="4"/>
      <c r="R57" s="4"/>
      <c r="S57" s="1"/>
      <c r="T57" s="1"/>
      <c r="U57" s="1"/>
      <c r="V57" s="1"/>
      <c r="W57" s="10"/>
      <c r="X57" s="1"/>
    </row>
    <row r="58" ht="13.5" customHeight="1">
      <c r="A58" s="1"/>
      <c r="B58" s="40"/>
      <c r="C58" s="40"/>
      <c r="D58" s="40"/>
      <c r="E58" s="40"/>
      <c r="F58" s="40"/>
      <c r="G58" s="40"/>
      <c r="H58" s="35" t="str">
        <f>VLOOKUP($K$9,$W$5:KX$6,47,0)</f>
        <v>Disciplina</v>
      </c>
      <c r="I58" s="36"/>
      <c r="J58" s="32"/>
      <c r="K58" s="33"/>
      <c r="L58" s="4"/>
      <c r="M58" s="4"/>
      <c r="N58" s="4"/>
      <c r="O58" s="4"/>
      <c r="P58" s="4"/>
      <c r="Q58" s="4"/>
      <c r="R58" s="4"/>
      <c r="S58" s="1"/>
      <c r="T58" s="1"/>
      <c r="U58" s="1"/>
      <c r="V58" s="1"/>
      <c r="W58" s="10"/>
      <c r="X58" s="1"/>
    </row>
    <row r="59" ht="13.5" customHeight="1">
      <c r="A59" s="1"/>
      <c r="B59" s="41">
        <v>5.0</v>
      </c>
      <c r="C59" s="29"/>
      <c r="D59" s="29"/>
      <c r="E59" s="28"/>
      <c r="F59" s="28"/>
      <c r="G59" s="28"/>
      <c r="H59" s="30" t="str">
        <f>VLOOKUP($K$9,$W$5:KX$6,33,0)</f>
        <v>ID de Caballo</v>
      </c>
      <c r="I59" s="31"/>
      <c r="J59" s="32"/>
      <c r="K59" s="33"/>
      <c r="L59" s="4"/>
      <c r="M59" s="4"/>
      <c r="N59" s="4"/>
      <c r="O59" s="4"/>
      <c r="P59" s="4"/>
      <c r="Q59" s="4"/>
      <c r="R59" s="4"/>
      <c r="S59" s="1"/>
      <c r="T59" s="1"/>
      <c r="U59" s="1"/>
      <c r="V59" s="1"/>
      <c r="W59" s="10"/>
      <c r="X59" s="1"/>
    </row>
    <row r="60" ht="13.5" customHeight="1">
      <c r="A60" s="1"/>
      <c r="B60" s="34"/>
      <c r="C60" s="34"/>
      <c r="D60" s="34"/>
      <c r="E60" s="34"/>
      <c r="F60" s="34"/>
      <c r="G60" s="34"/>
      <c r="H60" s="35" t="str">
        <f>VLOOKUP($K$9,$W$5:KX$6,34,0)</f>
        <v>Raza</v>
      </c>
      <c r="I60" s="36"/>
      <c r="J60" s="32"/>
      <c r="K60" s="33"/>
      <c r="L60" s="4"/>
      <c r="M60" s="4"/>
      <c r="N60" s="4"/>
      <c r="O60" s="4"/>
      <c r="P60" s="4"/>
      <c r="Q60" s="4"/>
      <c r="R60" s="4"/>
      <c r="S60" s="1"/>
      <c r="T60" s="1"/>
      <c r="U60" s="1"/>
      <c r="V60" s="1"/>
      <c r="W60" s="10"/>
      <c r="X60" s="1"/>
    </row>
    <row r="61" ht="13.5" customHeight="1">
      <c r="A61" s="1"/>
      <c r="B61" s="34"/>
      <c r="C61" s="34"/>
      <c r="D61" s="34"/>
      <c r="E61" s="34"/>
      <c r="F61" s="34"/>
      <c r="G61" s="34"/>
      <c r="H61" s="30" t="str">
        <f>VLOOKUP($K$9,$W$5:KX$6,35,0)</f>
        <v>Color</v>
      </c>
      <c r="I61" s="31"/>
      <c r="J61" s="32"/>
      <c r="K61" s="33"/>
      <c r="L61" s="4"/>
      <c r="M61" s="4"/>
      <c r="N61" s="4"/>
      <c r="O61" s="4"/>
      <c r="P61" s="4"/>
      <c r="Q61" s="4"/>
      <c r="R61" s="4"/>
      <c r="S61" s="1"/>
      <c r="T61" s="1"/>
      <c r="U61" s="1"/>
      <c r="V61" s="1"/>
      <c r="W61" s="10"/>
      <c r="X61" s="1"/>
    </row>
    <row r="62" ht="13.5" customHeight="1">
      <c r="A62" s="1"/>
      <c r="B62" s="34"/>
      <c r="C62" s="34"/>
      <c r="D62" s="34"/>
      <c r="E62" s="34"/>
      <c r="F62" s="34"/>
      <c r="G62" s="34"/>
      <c r="H62" s="35" t="str">
        <f>VLOOKUP($K$9,$W$5:KX$6,36,0)</f>
        <v>País de Nacimiento</v>
      </c>
      <c r="I62" s="36"/>
      <c r="J62" s="32"/>
      <c r="K62" s="33"/>
      <c r="L62" s="4"/>
      <c r="M62" s="4"/>
      <c r="N62" s="4"/>
      <c r="O62" s="4"/>
      <c r="P62" s="4"/>
      <c r="Q62" s="4"/>
      <c r="R62" s="4"/>
      <c r="S62" s="1"/>
      <c r="T62" s="1"/>
      <c r="U62" s="1"/>
      <c r="V62" s="1"/>
      <c r="W62" s="10"/>
      <c r="X62" s="1"/>
    </row>
    <row r="63" ht="13.5" customHeight="1">
      <c r="A63" s="1"/>
      <c r="B63" s="34"/>
      <c r="C63" s="34"/>
      <c r="D63" s="34"/>
      <c r="E63" s="34"/>
      <c r="F63" s="34"/>
      <c r="G63" s="34"/>
      <c r="H63" s="30" t="str">
        <f>VLOOKUP($K$9,$W$5:KX$6,37,0)</f>
        <v>Caballerango</v>
      </c>
      <c r="I63" s="31"/>
      <c r="J63" s="32"/>
      <c r="K63" s="33"/>
      <c r="L63" s="4"/>
      <c r="M63" s="4"/>
      <c r="N63" s="4"/>
      <c r="O63" s="4"/>
      <c r="P63" s="4"/>
      <c r="Q63" s="4"/>
      <c r="R63" s="4"/>
      <c r="S63" s="1"/>
      <c r="T63" s="1"/>
      <c r="U63" s="1"/>
      <c r="V63" s="1"/>
      <c r="W63" s="10"/>
      <c r="X63" s="1"/>
    </row>
    <row r="64" ht="13.5" customHeight="1">
      <c r="A64" s="1"/>
      <c r="B64" s="34"/>
      <c r="C64" s="34"/>
      <c r="D64" s="34"/>
      <c r="E64" s="34"/>
      <c r="F64" s="34"/>
      <c r="G64" s="34"/>
      <c r="H64" s="35" t="str">
        <f>VLOOKUP($K$9,$W$5:KX$6,38,0)</f>
        <v>Nombre del caballo</v>
      </c>
      <c r="I64" s="36"/>
      <c r="J64" s="32"/>
      <c r="K64" s="33"/>
      <c r="L64" s="4"/>
      <c r="M64" s="4"/>
      <c r="N64" s="4"/>
      <c r="O64" s="4"/>
      <c r="P64" s="4"/>
      <c r="Q64" s="4"/>
      <c r="R64" s="4"/>
      <c r="S64" s="1"/>
      <c r="T64" s="1"/>
      <c r="U64" s="1"/>
      <c r="V64" s="1"/>
      <c r="W64" s="10"/>
      <c r="X64" s="1"/>
    </row>
    <row r="65" ht="13.5" customHeight="1">
      <c r="A65" s="1"/>
      <c r="B65" s="34"/>
      <c r="C65" s="34"/>
      <c r="D65" s="34"/>
      <c r="E65" s="34"/>
      <c r="F65" s="34"/>
      <c r="G65" s="34"/>
      <c r="H65" s="30" t="str">
        <f>VLOOKUP($K$9,$W$5:KX$6,40,0)</f>
        <v>1° Dueño</v>
      </c>
      <c r="I65" s="31"/>
      <c r="J65" s="32"/>
      <c r="K65" s="33"/>
      <c r="L65" s="4"/>
      <c r="M65" s="4"/>
      <c r="N65" s="4"/>
      <c r="O65" s="4"/>
      <c r="P65" s="4"/>
      <c r="Q65" s="4"/>
      <c r="R65" s="4"/>
      <c r="S65" s="1"/>
      <c r="T65" s="1"/>
      <c r="U65" s="1"/>
      <c r="V65" s="1"/>
      <c r="W65" s="10"/>
      <c r="X65" s="1"/>
    </row>
    <row r="66" ht="13.5" customHeight="1">
      <c r="A66" s="1"/>
      <c r="B66" s="34"/>
      <c r="C66" s="34"/>
      <c r="D66" s="34"/>
      <c r="E66" s="34"/>
      <c r="F66" s="34"/>
      <c r="G66" s="34"/>
      <c r="H66" s="35" t="str">
        <f>VLOOKUP($K$9,$W$5:KX$6,41,0)</f>
        <v>2° Dueño</v>
      </c>
      <c r="I66" s="36"/>
      <c r="J66" s="32"/>
      <c r="K66" s="33"/>
      <c r="L66" s="4"/>
      <c r="M66" s="4"/>
      <c r="N66" s="4"/>
      <c r="O66" s="4"/>
      <c r="P66" s="4"/>
      <c r="Q66" s="4"/>
      <c r="R66" s="4"/>
      <c r="S66" s="1"/>
      <c r="T66" s="1"/>
      <c r="U66" s="1"/>
      <c r="V66" s="1"/>
      <c r="W66" s="10"/>
      <c r="X66" s="1"/>
    </row>
    <row r="67" ht="13.5" customHeight="1">
      <c r="A67" s="1"/>
      <c r="B67" s="34"/>
      <c r="C67" s="34"/>
      <c r="D67" s="34"/>
      <c r="E67" s="34"/>
      <c r="F67" s="34"/>
      <c r="G67" s="34"/>
      <c r="H67" s="30" t="str">
        <f>VLOOKUP($K$9,$W$5:KX$6,42,0)</f>
        <v>Pasaporte (N° ID FEI)</v>
      </c>
      <c r="I67" s="31"/>
      <c r="J67" s="32"/>
      <c r="K67" s="33"/>
      <c r="L67" s="4"/>
      <c r="M67" s="4"/>
      <c r="N67" s="4"/>
      <c r="O67" s="4"/>
      <c r="P67" s="4"/>
      <c r="Q67" s="4"/>
      <c r="R67" s="4"/>
      <c r="S67" s="1"/>
      <c r="T67" s="1"/>
      <c r="U67" s="1"/>
      <c r="V67" s="1"/>
      <c r="W67" s="10"/>
      <c r="X67" s="1"/>
    </row>
    <row r="68" ht="13.5" customHeight="1">
      <c r="A68" s="1"/>
      <c r="B68" s="34"/>
      <c r="C68" s="34"/>
      <c r="D68" s="34"/>
      <c r="E68" s="34"/>
      <c r="F68" s="34"/>
      <c r="G68" s="34"/>
      <c r="H68" s="35" t="str">
        <f>VLOOKUP($K$9,$W$5:KX$6,44,0)</f>
        <v>Género</v>
      </c>
      <c r="I68" s="36"/>
      <c r="J68" s="32"/>
      <c r="K68" s="33"/>
      <c r="L68" s="4"/>
      <c r="M68" s="4"/>
      <c r="N68" s="4"/>
      <c r="O68" s="4"/>
      <c r="P68" s="4"/>
      <c r="Q68" s="4"/>
      <c r="R68" s="4"/>
      <c r="S68" s="1"/>
      <c r="T68" s="1"/>
      <c r="U68" s="1"/>
      <c r="V68" s="1"/>
      <c r="W68" s="10"/>
      <c r="X68" s="1"/>
    </row>
    <row r="69" ht="13.5" customHeight="1">
      <c r="A69" s="1"/>
      <c r="B69" s="34"/>
      <c r="C69" s="34"/>
      <c r="D69" s="34"/>
      <c r="E69" s="34"/>
      <c r="F69" s="34"/>
      <c r="G69" s="34"/>
      <c r="H69" s="30" t="str">
        <f>VLOOKUP($K$9,$W$5:KX$6,46,0)</f>
        <v>Año de Nacimiento</v>
      </c>
      <c r="I69" s="31"/>
      <c r="J69" s="32"/>
      <c r="K69" s="33"/>
      <c r="L69" s="4"/>
      <c r="M69" s="4"/>
      <c r="N69" s="4"/>
      <c r="O69" s="4"/>
      <c r="P69" s="4"/>
      <c r="Q69" s="4"/>
      <c r="R69" s="4"/>
      <c r="S69" s="1"/>
      <c r="T69" s="1"/>
      <c r="U69" s="1"/>
      <c r="V69" s="1"/>
      <c r="W69" s="10"/>
      <c r="X69" s="1"/>
    </row>
    <row r="70" ht="13.5" customHeight="1">
      <c r="A70" s="1"/>
      <c r="B70" s="34"/>
      <c r="C70" s="34"/>
      <c r="D70" s="34"/>
      <c r="E70" s="34"/>
      <c r="F70" s="34"/>
      <c r="G70" s="34"/>
      <c r="H70" s="35" t="str">
        <f>VLOOKUP($K$9,$W$5:KX$6,47,0)</f>
        <v>Disciplina</v>
      </c>
      <c r="I70" s="36"/>
      <c r="J70" s="32"/>
      <c r="K70" s="33"/>
      <c r="L70" s="4"/>
      <c r="M70" s="4"/>
      <c r="N70" s="4"/>
      <c r="O70" s="4"/>
      <c r="P70" s="4"/>
      <c r="Q70" s="4"/>
      <c r="R70" s="4"/>
      <c r="S70" s="1"/>
      <c r="T70" s="1"/>
      <c r="U70" s="1"/>
      <c r="V70" s="1"/>
      <c r="W70" s="10"/>
      <c r="X70" s="1"/>
    </row>
  </sheetData>
  <mergeCells count="64">
    <mergeCell ref="I63:K63"/>
    <mergeCell ref="I64:K64"/>
    <mergeCell ref="I65:K65"/>
    <mergeCell ref="I66:K66"/>
    <mergeCell ref="I67:K67"/>
    <mergeCell ref="I68:K68"/>
    <mergeCell ref="I69:K69"/>
    <mergeCell ref="I70:K70"/>
    <mergeCell ref="I56:K56"/>
    <mergeCell ref="I57:K57"/>
    <mergeCell ref="I58:K58"/>
    <mergeCell ref="I59:K59"/>
    <mergeCell ref="I60:K60"/>
    <mergeCell ref="I61:K61"/>
    <mergeCell ref="I62:K62"/>
    <mergeCell ref="B1:C1"/>
    <mergeCell ref="D3:D4"/>
    <mergeCell ref="D5:D7"/>
    <mergeCell ref="H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I51:K51"/>
    <mergeCell ref="I52:K52"/>
    <mergeCell ref="I53:K53"/>
    <mergeCell ref="I54:K54"/>
    <mergeCell ref="I55:K55"/>
  </mergeCells>
  <dataValidations>
    <dataValidation type="list" allowBlank="1" showErrorMessage="1" sqref="K9">
      <formula1>"Español,English"</formula1>
    </dataValidation>
    <dataValidation type="list" allowBlank="1" showErrorMessage="1" sqref="E11 E23 E35 E47 E59">
      <formula1>EQU!$CA$12:$CA$13</formula1>
    </dataValidation>
    <dataValidation type="list" allowBlank="1" showErrorMessage="1" sqref="F11 I22 F23 I34 F35 I46 F47 I58 F59 I70">
      <formula1>EQU!$AP$12:$AP$16</formula1>
    </dataValidation>
  </dataValidations>
  <printOptions/>
  <pageMargins bottom="0.75" footer="0.0" header="0.0" left="0.75" right="0.25" top="1.0"/>
  <pageSetup fitToHeight="0" paperSize="9" orientation="landscape"/>
  <drawing r:id="rId1"/>
</worksheet>
</file>