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BL" sheetId="1" r:id="rId4"/>
  </sheets>
  <definedNames/>
  <calcPr/>
</workbook>
</file>

<file path=xl/sharedStrings.xml><?xml version="1.0" encoding="utf-8"?>
<sst xmlns="http://schemas.openxmlformats.org/spreadsheetml/2006/main" count="1136" uniqueCount="700">
  <si>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</si>
  <si>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</si>
  <si>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</si>
  <si>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</si>
  <si>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</si>
  <si>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</si>
  <si>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</si>
  <si>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</si>
  <si>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</si>
  <si>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</si>
  <si>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</si>
  <si>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</si>
  <si>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</si>
  <si>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</si>
  <si>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</si>
  <si>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</si>
  <si>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</si>
  <si>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</si>
  <si>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</si>
  <si>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</si>
  <si>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</si>
  <si>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</si>
  <si>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</si>
  <si>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</si>
  <si>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</si>
  <si>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</si>
  <si>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</si>
  <si>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</si>
  <si>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</si>
  <si>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</si>
  <si>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</si>
  <si>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</si>
  <si>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</si>
  <si>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</si>
  <si>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</si>
  <si>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</si>
  <si>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</si>
  <si>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</si>
  <si>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</si>
  <si>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</si>
  <si>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</si>
  <si>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</si>
  <si>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</si>
  <si>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</si>
  <si>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</si>
  <si>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</si>
  <si>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</si>
  <si>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</si>
  <si>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</si>
  <si>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</si>
  <si>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</si>
  <si>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</si>
  <si>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</si>
  <si>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</si>
  <si>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</si>
  <si>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</si>
  <si>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</si>
  <si>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</si>
  <si>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</si>
  <si>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</si>
  <si>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</si>
  <si>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</si>
  <si>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</si>
  <si>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</si>
  <si>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</si>
  <si>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</si>
  <si>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</si>
  <si>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</si>
  <si>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</si>
  <si>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</si>
  <si>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</si>
  <si>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</si>
  <si>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</si>
  <si>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</si>
  <si>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</si>
  <si>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</si>
  <si>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</si>
  <si>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</si>
  <si>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</si>
  <si>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</si>
  <si>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</si>
  <si>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</si>
  <si>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</si>
  <si>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</si>
  <si>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</si>
  <si>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</si>
  <si>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</si>
  <si>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</si>
  <si>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</si>
  <si>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</si>
  <si>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</si>
  <si>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</si>
  <si>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</si>
  <si>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</si>
  <si>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</si>
  <si>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</si>
  <si>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</si>
  <si>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</si>
  <si>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</si>
  <si>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</si>
  <si>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</si>
  <si>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</si>
  <si>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</si>
  <si>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</si>
  <si>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</si>
  <si>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</si>
  <si>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</si>
  <si>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</si>
  <si>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</si>
  <si>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</si>
  <si>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</si>
  <si>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</si>
  <si>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</si>
  <si>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</si>
  <si>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</si>
  <si>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</si>
  <si>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</si>
  <si>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</si>
  <si>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</si>
  <si>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</si>
  <si>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</si>
  <si>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</si>
  <si>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</si>
  <si>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</si>
  <si>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</si>
  <si>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</si>
  <si>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</si>
  <si>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</si>
  <si>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</si>
  <si>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</si>
  <si>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</si>
  <si>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</si>
  <si>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</si>
  <si>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</si>
  <si>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</si>
  <si>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</si>
  <si>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</si>
  <si>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</si>
  <si>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</si>
  <si>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</si>
  <si>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</si>
  <si>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</si>
  <si>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</si>
  <si>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</si>
  <si>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</si>
  <si>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</si>
  <si>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</si>
  <si>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</si>
  <si>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</si>
  <si>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</si>
  <si>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</si>
  <si>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</si>
  <si>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</si>
  <si>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</si>
  <si>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</si>
  <si>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</si>
  <si>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</si>
  <si>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</si>
  <si>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</si>
  <si>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</si>
  <si>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</si>
  <si>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</si>
  <si>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</si>
  <si>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</si>
  <si>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</si>
  <si>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</si>
  <si>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</si>
  <si>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</si>
  <si>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</si>
  <si>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</si>
  <si>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</si>
  <si>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</si>
  <si>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</si>
  <si>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</si>
  <si>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</si>
  <si>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</si>
  <si>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</si>
  <si>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</si>
  <si>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</si>
  <si>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</si>
  <si>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Portero</t>
  </si>
  <si>
    <t>Defensa</t>
  </si>
  <si>
    <t>Centrocampista</t>
  </si>
  <si>
    <t>Delantero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</si>
  <si>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</si>
  <si>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</si>
  <si>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</si>
  <si>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</si>
  <si>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</si>
  <si>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</si>
  <si>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</si>
  <si>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</si>
  <si>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</si>
  <si>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</si>
  <si>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</si>
  <si>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</si>
  <si>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</si>
  <si>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</si>
  <si>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</si>
  <si>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</si>
  <si>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</si>
  <si>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</si>
  <si>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</si>
  <si>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</si>
  <si>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</si>
  <si>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</si>
  <si>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</si>
  <si>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</si>
  <si>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</si>
  <si>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</si>
  <si>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</si>
  <si>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</si>
  <si>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</si>
  <si>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</si>
  <si>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</si>
  <si>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</si>
  <si>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</si>
  <si>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</si>
  <si>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</si>
  <si>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</si>
  <si>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</si>
  <si>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</si>
  <si>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</si>
  <si>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</si>
  <si>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</si>
  <si>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</si>
  <si>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</si>
  <si>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</si>
  <si>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</si>
  <si>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</si>
  <si>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</si>
  <si>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</si>
  <si>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</si>
  <si>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</si>
  <si>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</si>
  <si>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</si>
  <si>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</si>
  <si>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</si>
  <si>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</si>
  <si>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</si>
  <si>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</si>
  <si>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</si>
  <si>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</si>
  <si>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</si>
  <si>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</si>
  <si>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</si>
  <si>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</si>
  <si>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</si>
  <si>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</si>
  <si>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</si>
  <si>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</si>
  <si>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</si>
  <si>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</si>
  <si>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</si>
  <si>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</si>
  <si>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</si>
  <si>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</si>
  <si>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</si>
  <si>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</si>
  <si>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</si>
  <si>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</si>
  <si>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</si>
  <si>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</si>
  <si>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</si>
  <si>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</si>
  <si>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</si>
  <si>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</si>
  <si>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</si>
  <si>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</si>
  <si>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</si>
  <si>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</si>
  <si>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</si>
  <si>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</si>
  <si>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</si>
  <si>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</si>
  <si>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</si>
  <si>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</si>
  <si>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</si>
  <si>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</si>
  <si>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</si>
  <si>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</si>
  <si>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</si>
  <si>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</si>
  <si>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</si>
  <si>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</si>
  <si>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</si>
  <si>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</si>
  <si>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</si>
  <si>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</si>
  <si>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</si>
  <si>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</si>
  <si>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</si>
  <si>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</si>
  <si>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</si>
  <si>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</si>
  <si>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</si>
  <si>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</si>
  <si>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</si>
  <si>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</si>
  <si>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</si>
  <si>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</si>
  <si>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</si>
  <si>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</si>
  <si>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</si>
  <si>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</si>
  <si>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</si>
  <si>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</si>
  <si>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</si>
  <si>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</si>
  <si>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</si>
  <si>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</si>
  <si>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</si>
  <si>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</si>
  <si>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</si>
  <si>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</si>
  <si>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</si>
  <si>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</si>
  <si>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</si>
  <si>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</si>
  <si>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</si>
  <si>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</si>
  <si>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</si>
  <si>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</si>
  <si>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</si>
  <si>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</si>
  <si>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</si>
  <si>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</si>
  <si>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</si>
  <si>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</si>
  <si>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</si>
  <si>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</si>
  <si>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</si>
  <si>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</si>
  <si>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</si>
  <si>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</si>
  <si>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</si>
  <si>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</si>
  <si>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</si>
  <si>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</si>
  <si>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</si>
  <si>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</si>
  <si>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</si>
  <si>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</si>
  <si>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</si>
  <si>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</si>
  <si>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</si>
  <si>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</si>
  <si>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</si>
  <si>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</si>
  <si>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</si>
  <si>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</si>
  <si>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</si>
  <si>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</si>
  <si>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</si>
  <si>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</si>
  <si>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</si>
  <si>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</si>
  <si>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</si>
  <si>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</si>
  <si>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</si>
  <si>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</si>
  <si>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</si>
  <si>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</si>
  <si>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</si>
  <si>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</si>
  <si>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</si>
  <si>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</si>
  <si>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</si>
  <si>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</si>
  <si>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</si>
  <si>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</si>
  <si>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</si>
  <si>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</si>
  <si>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</si>
  <si>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</si>
  <si>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</si>
  <si>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</si>
  <si>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</si>
  <si>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</si>
  <si>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</si>
  <si>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</si>
  <si>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</si>
  <si>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</si>
  <si>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</si>
  <si>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</si>
  <si>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</si>
  <si>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</si>
  <si>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</si>
  <si>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</si>
  <si>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</si>
  <si>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</si>
  <si>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</si>
  <si>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</si>
  <si>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</si>
  <si>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</si>
  <si>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</si>
  <si>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</si>
  <si>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</si>
  <si>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</si>
  <si>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</si>
  <si>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</si>
  <si>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</si>
  <si>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</si>
  <si>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</si>
  <si>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</si>
  <si>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</si>
  <si>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</si>
  <si>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</si>
  <si>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</si>
  <si>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Goalkeeper</t>
  </si>
  <si>
    <t>Defense</t>
  </si>
  <si>
    <t>Midfielder</t>
  </si>
  <si>
    <t>Forward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</si>
  <si>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</si>
  <si>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</si>
  <si>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</si>
  <si>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</si>
  <si>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</si>
  <si>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</si>
  <si>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</si>
  <si>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All Around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</si>
  <si>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</si>
  <si>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</si>
  <si>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</si>
  <si>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</si>
  <si>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</si>
  <si>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</si>
  <si>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</si>
  <si>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</si>
  <si>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</si>
  <si>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</si>
  <si>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</si>
  <si>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</si>
  <si>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</si>
  <si>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</si>
  <si>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</si>
  <si>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</si>
  <si>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</si>
  <si>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</si>
  <si>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</si>
  <si>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</si>
  <si>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</si>
  <si>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</si>
  <si>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</si>
  <si>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</si>
  <si>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</si>
  <si>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</si>
  <si>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</si>
  <si>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</si>
  <si>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</si>
  <si>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</si>
  <si>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</si>
  <si>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</si>
  <si>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</si>
  <si>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</si>
  <si>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</si>
  <si>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</si>
  <si>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</si>
  <si>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</si>
  <si>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</si>
  <si>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</si>
  <si>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</si>
  <si>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</si>
  <si>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</si>
  <si>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</si>
  <si>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</si>
  <si>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</si>
  <si>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</si>
  <si>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</si>
  <si>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</si>
  <si>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</si>
  <si>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</si>
  <si>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</si>
  <si>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</si>
  <si>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</si>
  <si>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</si>
  <si>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</si>
  <si>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</si>
  <si>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</si>
  <si>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</si>
  <si>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</si>
  <si>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</si>
  <si>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</si>
  <si>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</si>
  <si>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</si>
  <si>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</si>
  <si>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</si>
  <si>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</si>
  <si>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</si>
  <si>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</si>
  <si>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</si>
  <si>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</si>
  <si>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</si>
  <si>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</si>
  <si>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</si>
  <si>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</si>
  <si>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</si>
  <si>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</si>
  <si>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</si>
  <si>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</si>
  <si>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</si>
  <si>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</si>
  <si>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</si>
  <si>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</si>
  <si>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</si>
  <si>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</si>
  <si>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</si>
  <si>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</si>
  <si>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</si>
  <si>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</si>
  <si>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</si>
  <si>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</si>
  <si>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</si>
  <si>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</si>
  <si>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</si>
  <si>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</si>
  <si>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</si>
  <si>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</si>
  <si>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</si>
  <si>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</si>
  <si>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</si>
  <si>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</si>
  <si>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</si>
  <si>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</si>
  <si>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Color tercer uniforme</t>
  </si>
  <si>
    <t>Capitan</t>
  </si>
  <si>
    <t>Nombre de club</t>
  </si>
  <si>
    <t>País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</si>
  <si>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</si>
  <si>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</si>
  <si>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</si>
  <si>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</si>
  <si>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</si>
  <si>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</si>
  <si>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</si>
  <si>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</si>
  <si>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</si>
  <si>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</si>
  <si>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</si>
  <si>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</si>
  <si>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</si>
  <si>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</si>
  <si>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</si>
  <si>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</si>
  <si>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</si>
  <si>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</si>
  <si>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</si>
  <si>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</si>
  <si>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</si>
  <si>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</si>
  <si>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</si>
  <si>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</si>
  <si>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</si>
  <si>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</si>
  <si>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</si>
  <si>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Uniform 3 Color</t>
  </si>
  <si>
    <t>Captain</t>
  </si>
  <si>
    <t>Club Name</t>
  </si>
  <si>
    <t>Club Country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</si>
  <si>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</si>
  <si>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</si>
  <si>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</si>
  <si>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</si>
  <si>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</si>
  <si>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</si>
  <si>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</si>
  <si>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</si>
  <si>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</si>
  <si>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</si>
  <si>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</si>
  <si>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</si>
  <si>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</si>
  <si>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</si>
  <si>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</si>
  <si>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</si>
  <si>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Fútbol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</si>
  <si>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</si>
  <si>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</si>
  <si>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</si>
  <si>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</si>
  <si>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</si>
  <si>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</si>
  <si>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</si>
  <si>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</si>
  <si>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</si>
  <si>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</si>
  <si>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</si>
  <si>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</si>
  <si>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</si>
  <si>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</si>
  <si>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</si>
  <si>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</si>
  <si>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</si>
  <si>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</si>
  <si>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</si>
  <si>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</si>
  <si>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</si>
  <si>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</si>
  <si>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</si>
  <si>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</si>
  <si>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</si>
  <si>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</si>
  <si>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</si>
  <si>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</si>
  <si>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</si>
  <si>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</si>
  <si>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</si>
  <si>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</si>
  <si>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</si>
  <si>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</si>
  <si>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</si>
  <si>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</si>
  <si>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</si>
  <si>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</si>
  <si>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</si>
  <si>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</si>
  <si>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</si>
  <si>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</si>
  <si>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Football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</si>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</sst>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3" numFmtId="0" xfId="0" applyFont="1"/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257175</xdr:colOff>
      <xdr:row>0</xdr:row>
      <xdr:rowOff>57150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76200</xdr:colOff>
      <xdr:row>1</xdr:row>
      <xdr:rowOff>123825</xdr:rowOff>
    </xdr:from>
    <xdr:ext cx="752475" cy="7810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25.0"/>
    <col customWidth="1" min="5" max="5" width="7.75"/>
    <col customWidth="1" min="6" max="6" width="10.63"/>
    <col customWidth="1" min="7" max="7" width="20.13"/>
    <col customWidth="1" min="8" max="8" width="13.0"/>
    <col customWidth="1" min="9" max="9" width="15.75"/>
    <col customWidth="1" min="10" max="11" width="13.0"/>
    <col customWidth="1" min="12" max="13" width="16.13"/>
    <col customWidth="1" min="14" max="16" width="13.0"/>
    <col customWidth="1" min="17" max="17" width="14.63"/>
    <col customWidth="1" min="18" max="18" width="13.75"/>
    <col customWidth="1" hidden="1" min="19" max="25" width="7.38"/>
    <col customWidth="1" hidden="1" min="26" max="27" width="18.75"/>
    <col customWidth="1" hidden="1" min="28" max="28" width="20.25"/>
    <col customWidth="1" hidden="1" min="29" max="29" width="22.63"/>
    <col customWidth="1" hidden="1" min="30" max="30" width="23.75"/>
    <col customWidth="1" hidden="1" min="31" max="42" width="14.13"/>
    <col customWidth="1" hidden="1" min="43" max="44" width="21.25"/>
    <col customWidth="1" hidden="1" min="45" max="46" width="19.13"/>
    <col customWidth="1" hidden="1" min="47" max="47" width="21.0"/>
    <col customWidth="1" hidden="1" min="48" max="48" width="24.0"/>
    <col customWidth="1" hidden="1" min="49" max="49" width="25.5"/>
    <col customWidth="1" hidden="1" min="50" max="51" width="20.13"/>
    <col customWidth="1" hidden="1" min="52" max="52" width="17.38"/>
    <col customWidth="1" hidden="1" min="53" max="53" width="18.25"/>
    <col customWidth="1" hidden="1" min="54" max="60" width="13.63"/>
    <col customWidth="1" hidden="1" min="61" max="61" width="14.0"/>
    <col customWidth="1" hidden="1" min="62" max="62" width="13.63"/>
    <col customWidth="1" hidden="1" min="63" max="63" width="16.25"/>
    <col customWidth="1" hidden="1" min="64" max="66" width="13.63"/>
    <col customWidth="1" hidden="1" min="67" max="67" width="14.0"/>
    <col customWidth="1" hidden="1" min="68" max="68" width="13.63"/>
    <col customWidth="1" hidden="1" min="69" max="69" width="14.13"/>
    <col customWidth="1" hidden="1" min="70" max="70" width="16.63"/>
    <col customWidth="1" hidden="1" min="71" max="71" width="17.5"/>
    <col customWidth="1" hidden="1" min="72" max="72" width="19.5"/>
    <col customWidth="1" hidden="1" min="73" max="73" width="18.75"/>
    <col customWidth="1" hidden="1" min="74" max="77" width="13.63"/>
    <col customWidth="1" hidden="1" min="78" max="78" width="16.0"/>
    <col customWidth="1" hidden="1" min="79" max="79" width="13.63"/>
    <col customWidth="1" hidden="1" min="80" max="82" width="15.38"/>
    <col customWidth="1" hidden="1" min="83" max="83" width="14.88"/>
    <col customWidth="1" hidden="1" min="84" max="84" width="17.88"/>
    <col customWidth="1" hidden="1" min="85" max="85" width="14.88"/>
    <col customWidth="1" hidden="1" min="86" max="86" width="11.63"/>
    <col customWidth="1" hidden="1" min="87" max="87" width="11.38"/>
    <col customWidth="1" hidden="1" min="88" max="89" width="12.88"/>
    <col customWidth="1" hidden="1" min="90" max="102" width="11.13"/>
    <col customWidth="1" hidden="1" min="103" max="103" width="13.0"/>
    <col customWidth="1" hidden="1" min="104" max="113" width="21.5"/>
    <col customWidth="1" hidden="1" min="114" max="116" width="19.13"/>
    <col customWidth="1" hidden="1" min="117" max="117" width="25.13"/>
    <col customWidth="1" hidden="1" min="118" max="118" width="23.38"/>
    <col customWidth="1" hidden="1" min="119" max="119" width="25.38"/>
    <col customWidth="1" hidden="1" min="120" max="121" width="17.63"/>
    <col customWidth="1" hidden="1" min="122" max="127" width="17.5"/>
    <col customWidth="1" hidden="1" min="128" max="129" width="25.75"/>
    <col customWidth="1" hidden="1" min="130" max="131" width="26.88"/>
    <col customWidth="1" hidden="1" min="132" max="133" width="17.38"/>
    <col customWidth="1" hidden="1" min="134" max="135" width="20.38"/>
    <col customWidth="1" hidden="1" min="136" max="136" width="14.13"/>
    <col customWidth="1" hidden="1" min="137" max="137" width="13.75"/>
    <col customWidth="1" hidden="1" min="138" max="138" width="13.0"/>
    <col customWidth="1" hidden="1" min="139" max="139" width="13.13"/>
    <col customWidth="1" hidden="1" min="140" max="140" width="12.63"/>
    <col customWidth="1" hidden="1" min="141" max="141" width="12.25"/>
    <col customWidth="1" hidden="1" min="142" max="146" width="17.75"/>
    <col customWidth="1" hidden="1" min="147" max="147" width="10.88"/>
    <col customWidth="1" hidden="1" min="148" max="157" width="21.13"/>
    <col customWidth="1" hidden="1" min="158" max="165" width="20.38"/>
    <col customWidth="1" hidden="1" min="166" max="167" width="22.25"/>
    <col customWidth="1" hidden="1" min="168" max="168" width="9.38"/>
    <col customWidth="1" hidden="1" min="169" max="169" width="18.13"/>
    <col customWidth="1" hidden="1" min="170" max="183" width="9.88"/>
    <col customWidth="1" hidden="1" min="184" max="184" width="11.13"/>
    <col customWidth="1" hidden="1" min="185" max="188" width="11.5"/>
    <col customWidth="1" hidden="1" min="189" max="189" width="12.0"/>
    <col customWidth="1" hidden="1" min="190" max="192" width="11.5"/>
    <col customWidth="1" hidden="1" min="193" max="194" width="12.0"/>
    <col customWidth="1" hidden="1" min="195" max="195" width="11.0"/>
    <col customWidth="1" hidden="1" min="196" max="205" width="24.63"/>
    <col customWidth="1" hidden="1" min="206" max="210" width="16.0"/>
    <col customWidth="1" hidden="1" min="211" max="211" width="16.88"/>
    <col customWidth="1" hidden="1" min="212" max="216" width="14.5"/>
    <col customWidth="1" hidden="1" min="217" max="217" width="15.5"/>
    <col customWidth="1" hidden="1" min="218" max="223" width="14.13"/>
    <col customWidth="1" hidden="1" min="224" max="224" width="19.0"/>
    <col customWidth="1" hidden="1" min="225" max="228" width="19.75"/>
    <col customWidth="1" hidden="1" min="229" max="230" width="17.0"/>
    <col customWidth="1" hidden="1" min="231" max="231" width="24.88"/>
    <col customWidth="1" hidden="1" min="232" max="232" width="26.63"/>
    <col customWidth="1" hidden="1" min="233" max="233" width="21.5"/>
    <col customWidth="1" hidden="1" min="234" max="234" width="15.38"/>
    <col customWidth="1" hidden="1" min="235" max="237" width="21.75"/>
    <col customWidth="1" hidden="1" min="238" max="241" width="14.13"/>
    <col customWidth="1" hidden="1" min="242" max="254" width="11.63"/>
    <col customWidth="1" hidden="1" min="255" max="255" width="12.75"/>
    <col customWidth="1" hidden="1" min="256" max="259" width="12.13"/>
    <col customWidth="1" hidden="1" min="260" max="263" width="9.25"/>
    <col customWidth="1" hidden="1" min="264" max="271" width="15.5"/>
    <col customWidth="1" hidden="1" min="272" max="272" width="24.13"/>
    <col customWidth="1" hidden="1" min="273" max="273" width="19.63"/>
    <col customWidth="1" hidden="1" min="274" max="275" width="10.25"/>
    <col customWidth="1" hidden="1" min="276" max="276" width="11.75"/>
    <col customWidth="1" hidden="1" min="277" max="280" width="16.75"/>
    <col customWidth="1" hidden="1" min="281" max="281" width="15.25"/>
    <col customWidth="1" hidden="1" min="282" max="282" width="17.0"/>
    <col customWidth="1" hidden="1" min="283" max="284" width="15.25"/>
    <col customWidth="1" hidden="1" min="285" max="285" width="17.25"/>
    <col customWidth="1" hidden="1" min="286" max="286" width="19.63"/>
    <col customWidth="1" hidden="1" min="287" max="287" width="18.0"/>
    <col customWidth="1" hidden="1" min="288" max="288" width="14.0"/>
    <col customWidth="1" hidden="1" min="289" max="289" width="15.75"/>
    <col customWidth="1" hidden="1" min="290" max="290" width="23.25"/>
    <col customWidth="1" hidden="1" min="291" max="291" width="17.25"/>
    <col customWidth="1" hidden="1" min="292" max="293" width="9.63"/>
    <col customWidth="1" hidden="1" min="294" max="294" width="18.5"/>
    <col customWidth="1" hidden="1" min="295" max="295" width="20.13"/>
    <col customWidth="1" hidden="1" min="296" max="296" width="10.13"/>
    <col customWidth="1" hidden="1" min="297" max="297" width="11.5"/>
    <col customWidth="1" hidden="1" min="298" max="298" width="12.25"/>
    <col customWidth="1" hidden="1" min="299" max="299" width="16.88"/>
    <col customWidth="1" hidden="1" min="300" max="301" width="11.75"/>
    <col customWidth="1" hidden="1" min="302" max="302" width="11.5"/>
    <col customWidth="1" hidden="1" min="303" max="303" width="9.38"/>
    <col customWidth="1" hidden="1" min="304" max="304" width="11.63"/>
    <col customWidth="1" hidden="1" min="305" max="305" width="14.38"/>
    <col customWidth="1" hidden="1" min="306" max="306" width="22.0"/>
    <col customWidth="1" hidden="1" min="307" max="307" width="16.63"/>
    <col customWidth="1" hidden="1" min="308" max="308" width="18.88"/>
    <col customWidth="1" hidden="1" min="309" max="309" width="12.88"/>
    <col customWidth="1" hidden="1" min="310" max="322" width="16.88"/>
  </cols>
  <sheetData>
    <row r="1" ht="13.5" customHeight="1">
      <c r="A1" s="1"/>
      <c r="B1" s="2"/>
      <c r="D1" s="1"/>
      <c r="E1" s="3"/>
      <c r="F1" s="3"/>
      <c r="G1" s="3"/>
      <c r="H1" s="4"/>
      <c r="I1" s="5"/>
      <c r="J1" s="1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6">
        <v>1.0</v>
      </c>
      <c r="Z1" s="7">
        <v>2.0</v>
      </c>
      <c r="AA1" s="7">
        <v>3.0</v>
      </c>
      <c r="AB1" s="6">
        <v>4.0</v>
      </c>
      <c r="AC1" s="7">
        <v>5.0</v>
      </c>
      <c r="AD1" s="7">
        <v>6.0</v>
      </c>
      <c r="AE1" s="6">
        <v>7.0</v>
      </c>
      <c r="AF1" s="7">
        <v>8.0</v>
      </c>
      <c r="AG1" s="7">
        <v>9.0</v>
      </c>
      <c r="AH1" s="6">
        <v>10.0</v>
      </c>
      <c r="AI1" s="7">
        <v>11.0</v>
      </c>
      <c r="AJ1" s="7">
        <v>12.0</v>
      </c>
      <c r="AK1" s="6">
        <v>13.0</v>
      </c>
      <c r="AL1" s="7">
        <v>14.0</v>
      </c>
      <c r="AM1" s="7">
        <v>15.0</v>
      </c>
      <c r="AN1" s="6">
        <v>16.0</v>
      </c>
      <c r="AO1" s="7">
        <v>17.0</v>
      </c>
      <c r="AP1" s="7">
        <v>18.0</v>
      </c>
      <c r="AQ1" s="6">
        <v>19.0</v>
      </c>
      <c r="AR1" s="7">
        <v>20.0</v>
      </c>
      <c r="AS1" s="7">
        <v>21.0</v>
      </c>
      <c r="AT1" s="6">
        <v>22.0</v>
      </c>
      <c r="AU1" s="7">
        <v>23.0</v>
      </c>
      <c r="AV1" s="7">
        <v>24.0</v>
      </c>
      <c r="AW1" s="6">
        <v>25.0</v>
      </c>
      <c r="AX1" s="7">
        <v>26.0</v>
      </c>
      <c r="AY1" s="7">
        <v>27.0</v>
      </c>
      <c r="AZ1" s="6">
        <v>28.0</v>
      </c>
      <c r="BA1" s="7">
        <v>29.0</v>
      </c>
      <c r="BB1" s="7">
        <v>30.0</v>
      </c>
      <c r="BC1" s="6">
        <v>31.0</v>
      </c>
      <c r="BD1" s="7">
        <v>32.0</v>
      </c>
      <c r="BE1" s="7">
        <v>33.0</v>
      </c>
      <c r="BF1" s="6">
        <v>34.0</v>
      </c>
      <c r="BG1" s="7">
        <v>35.0</v>
      </c>
      <c r="BH1" s="7">
        <v>36.0</v>
      </c>
      <c r="BI1" s="6">
        <v>37.0</v>
      </c>
      <c r="BJ1" s="7">
        <v>38.0</v>
      </c>
      <c r="BK1" s="7">
        <v>39.0</v>
      </c>
      <c r="BL1" s="6">
        <v>40.0</v>
      </c>
      <c r="BM1" s="7">
        <v>41.0</v>
      </c>
      <c r="BN1" s="7">
        <v>42.0</v>
      </c>
      <c r="BO1" s="6">
        <v>43.0</v>
      </c>
      <c r="BP1" s="7">
        <v>44.0</v>
      </c>
      <c r="BQ1" s="7">
        <v>45.0</v>
      </c>
      <c r="BR1" s="6">
        <v>46.0</v>
      </c>
      <c r="BS1" s="7">
        <v>47.0</v>
      </c>
      <c r="BT1" s="7">
        <v>48.0</v>
      </c>
      <c r="BU1" s="6">
        <v>49.0</v>
      </c>
      <c r="BV1" s="7">
        <v>50.0</v>
      </c>
      <c r="BW1" s="7">
        <v>51.0</v>
      </c>
      <c r="BX1" s="6">
        <v>52.0</v>
      </c>
      <c r="BY1" s="7">
        <v>53.0</v>
      </c>
      <c r="BZ1" s="7">
        <v>54.0</v>
      </c>
      <c r="CA1" s="6">
        <v>55.0</v>
      </c>
      <c r="CB1" s="7">
        <v>56.0</v>
      </c>
      <c r="CC1" s="7">
        <v>57.0</v>
      </c>
      <c r="CD1" s="6">
        <v>58.0</v>
      </c>
      <c r="CE1" s="7">
        <v>59.0</v>
      </c>
      <c r="CF1" s="7">
        <v>60.0</v>
      </c>
      <c r="CG1" s="6">
        <v>61.0</v>
      </c>
      <c r="CH1" s="7">
        <v>62.0</v>
      </c>
      <c r="CI1" s="7">
        <v>63.0</v>
      </c>
      <c r="CJ1" s="6">
        <v>64.0</v>
      </c>
      <c r="CK1" s="7">
        <v>65.0</v>
      </c>
      <c r="CL1" s="7">
        <v>66.0</v>
      </c>
      <c r="CM1" s="6">
        <v>67.0</v>
      </c>
      <c r="CN1" s="7">
        <v>68.0</v>
      </c>
      <c r="CO1" s="7">
        <v>69.0</v>
      </c>
      <c r="CP1" s="6">
        <v>70.0</v>
      </c>
      <c r="CQ1" s="7">
        <v>71.0</v>
      </c>
      <c r="CR1" s="7">
        <v>72.0</v>
      </c>
      <c r="CS1" s="6">
        <v>73.0</v>
      </c>
      <c r="CT1" s="7">
        <v>74.0</v>
      </c>
      <c r="CU1" s="7">
        <v>75.0</v>
      </c>
      <c r="CV1" s="6">
        <v>76.0</v>
      </c>
      <c r="CW1" s="7">
        <v>77.0</v>
      </c>
      <c r="CX1" s="7">
        <v>78.0</v>
      </c>
      <c r="CY1" s="6">
        <v>79.0</v>
      </c>
      <c r="CZ1" s="7">
        <v>80.0</v>
      </c>
      <c r="DA1" s="7">
        <v>81.0</v>
      </c>
      <c r="DB1" s="6">
        <v>82.0</v>
      </c>
      <c r="DC1" s="7">
        <v>83.0</v>
      </c>
      <c r="DD1" s="7">
        <v>84.0</v>
      </c>
      <c r="DE1" s="6">
        <v>85.0</v>
      </c>
      <c r="DF1" s="7">
        <v>86.0</v>
      </c>
      <c r="DG1" s="7">
        <v>87.0</v>
      </c>
      <c r="DH1" s="6">
        <v>88.0</v>
      </c>
      <c r="DI1" s="7">
        <v>89.0</v>
      </c>
      <c r="DJ1" s="7">
        <v>90.0</v>
      </c>
      <c r="DK1" s="6">
        <v>91.0</v>
      </c>
      <c r="DL1" s="7">
        <v>92.0</v>
      </c>
      <c r="DM1" s="7">
        <v>93.0</v>
      </c>
      <c r="DN1" s="6">
        <v>94.0</v>
      </c>
      <c r="DO1" s="7">
        <v>95.0</v>
      </c>
      <c r="DP1" s="7">
        <v>96.0</v>
      </c>
      <c r="DQ1" s="6">
        <v>97.0</v>
      </c>
      <c r="DR1" s="7">
        <v>98.0</v>
      </c>
      <c r="DS1" s="7">
        <v>99.0</v>
      </c>
      <c r="DT1" s="6">
        <v>100.0</v>
      </c>
      <c r="DU1" s="7">
        <v>101.0</v>
      </c>
      <c r="DV1" s="7">
        <v>102.0</v>
      </c>
      <c r="DW1" s="6">
        <v>103.0</v>
      </c>
      <c r="DX1" s="7">
        <v>104.0</v>
      </c>
      <c r="DY1" s="7">
        <v>105.0</v>
      </c>
      <c r="DZ1" s="6">
        <v>106.0</v>
      </c>
      <c r="EA1" s="7">
        <v>107.0</v>
      </c>
      <c r="EB1" s="7">
        <v>108.0</v>
      </c>
      <c r="EC1" s="6">
        <v>109.0</v>
      </c>
      <c r="ED1" s="7">
        <v>110.0</v>
      </c>
      <c r="EE1" s="7">
        <v>111.0</v>
      </c>
      <c r="EF1" s="6">
        <v>112.0</v>
      </c>
      <c r="EG1" s="7">
        <v>113.0</v>
      </c>
      <c r="EH1" s="7">
        <v>114.0</v>
      </c>
      <c r="EI1" s="6">
        <v>115.0</v>
      </c>
      <c r="EJ1" s="7">
        <v>116.0</v>
      </c>
      <c r="EK1" s="7">
        <v>117.0</v>
      </c>
      <c r="EL1" s="6">
        <v>118.0</v>
      </c>
      <c r="EM1" s="7">
        <v>119.0</v>
      </c>
      <c r="EN1" s="7">
        <v>120.0</v>
      </c>
      <c r="EO1" s="6">
        <v>121.0</v>
      </c>
      <c r="EP1" s="7">
        <v>122.0</v>
      </c>
      <c r="EQ1" s="7">
        <v>123.0</v>
      </c>
      <c r="ER1" s="6">
        <v>124.0</v>
      </c>
      <c r="ES1" s="7">
        <v>125.0</v>
      </c>
      <c r="ET1" s="7">
        <v>126.0</v>
      </c>
      <c r="EU1" s="6">
        <v>127.0</v>
      </c>
      <c r="EV1" s="7">
        <v>128.0</v>
      </c>
      <c r="EW1" s="7">
        <v>129.0</v>
      </c>
      <c r="EX1" s="6">
        <v>130.0</v>
      </c>
      <c r="EY1" s="7">
        <v>131.0</v>
      </c>
      <c r="EZ1" s="7">
        <v>132.0</v>
      </c>
      <c r="FA1" s="6">
        <v>133.0</v>
      </c>
      <c r="FB1" s="7">
        <v>134.0</v>
      </c>
      <c r="FC1" s="7">
        <v>135.0</v>
      </c>
      <c r="FD1" s="6">
        <v>136.0</v>
      </c>
      <c r="FE1" s="7">
        <v>137.0</v>
      </c>
      <c r="FF1" s="7">
        <v>138.0</v>
      </c>
      <c r="FG1" s="6">
        <v>139.0</v>
      </c>
      <c r="FH1" s="7">
        <v>140.0</v>
      </c>
      <c r="FI1" s="7">
        <v>141.0</v>
      </c>
      <c r="FJ1" s="6">
        <v>142.0</v>
      </c>
      <c r="FK1" s="7">
        <v>143.0</v>
      </c>
      <c r="FL1" s="7">
        <v>144.0</v>
      </c>
      <c r="FM1" s="6">
        <v>145.0</v>
      </c>
      <c r="FN1" s="7">
        <v>146.0</v>
      </c>
      <c r="FO1" s="7">
        <v>147.0</v>
      </c>
      <c r="FP1" s="6">
        <v>148.0</v>
      </c>
      <c r="FQ1" s="7">
        <v>149.0</v>
      </c>
      <c r="FR1" s="7">
        <v>150.0</v>
      </c>
      <c r="FS1" s="6">
        <v>151.0</v>
      </c>
      <c r="FT1" s="7">
        <v>152.0</v>
      </c>
      <c r="FU1" s="7">
        <v>153.0</v>
      </c>
      <c r="FV1" s="6">
        <v>154.0</v>
      </c>
      <c r="FW1" s="7">
        <v>155.0</v>
      </c>
      <c r="FX1" s="7">
        <v>156.0</v>
      </c>
      <c r="FY1" s="6">
        <v>157.0</v>
      </c>
      <c r="FZ1" s="7">
        <v>158.0</v>
      </c>
      <c r="GA1" s="7">
        <v>159.0</v>
      </c>
      <c r="GB1" s="6">
        <v>160.0</v>
      </c>
      <c r="GC1" s="7">
        <v>161.0</v>
      </c>
      <c r="GD1" s="7">
        <v>162.0</v>
      </c>
      <c r="GE1" s="6">
        <v>163.0</v>
      </c>
      <c r="GF1" s="7">
        <v>164.0</v>
      </c>
      <c r="GG1" s="7">
        <v>165.0</v>
      </c>
      <c r="GH1" s="6">
        <v>166.0</v>
      </c>
      <c r="GI1" s="7">
        <v>167.0</v>
      </c>
      <c r="GJ1" s="7">
        <v>168.0</v>
      </c>
      <c r="GK1" s="6">
        <v>169.0</v>
      </c>
      <c r="GL1" s="7">
        <v>170.0</v>
      </c>
      <c r="GM1" s="7">
        <v>171.0</v>
      </c>
      <c r="GN1" s="6">
        <v>172.0</v>
      </c>
      <c r="GO1" s="7">
        <v>173.0</v>
      </c>
      <c r="GP1" s="7">
        <v>174.0</v>
      </c>
      <c r="GQ1" s="6">
        <v>175.0</v>
      </c>
      <c r="GR1" s="7">
        <v>176.0</v>
      </c>
      <c r="GS1" s="7">
        <v>177.0</v>
      </c>
      <c r="GT1" s="6">
        <v>178.0</v>
      </c>
      <c r="GU1" s="7">
        <v>179.0</v>
      </c>
      <c r="GV1" s="7">
        <v>180.0</v>
      </c>
      <c r="GW1" s="6">
        <v>181.0</v>
      </c>
      <c r="GX1" s="7">
        <v>182.0</v>
      </c>
      <c r="GY1" s="7">
        <v>183.0</v>
      </c>
      <c r="GZ1" s="6">
        <v>184.0</v>
      </c>
      <c r="HA1" s="7">
        <v>185.0</v>
      </c>
      <c r="HB1" s="7">
        <v>186.0</v>
      </c>
      <c r="HC1" s="6">
        <v>187.0</v>
      </c>
      <c r="HD1" s="7">
        <v>188.0</v>
      </c>
      <c r="HE1" s="7">
        <v>189.0</v>
      </c>
      <c r="HF1" s="6">
        <v>190.0</v>
      </c>
      <c r="HG1" s="7">
        <v>191.0</v>
      </c>
      <c r="HH1" s="7">
        <v>192.0</v>
      </c>
      <c r="HI1" s="6">
        <v>193.0</v>
      </c>
      <c r="HJ1" s="7">
        <v>194.0</v>
      </c>
      <c r="HK1" s="7">
        <v>195.0</v>
      </c>
      <c r="HL1" s="6">
        <v>196.0</v>
      </c>
      <c r="HM1" s="7">
        <v>197.0</v>
      </c>
      <c r="HN1" s="7">
        <v>198.0</v>
      </c>
      <c r="HO1" s="6">
        <v>199.0</v>
      </c>
      <c r="HP1" s="7">
        <v>200.0</v>
      </c>
      <c r="HQ1" s="7">
        <v>201.0</v>
      </c>
      <c r="HR1" s="6">
        <v>202.0</v>
      </c>
      <c r="HS1" s="7">
        <v>203.0</v>
      </c>
      <c r="HT1" s="7">
        <v>204.0</v>
      </c>
      <c r="HU1" s="6">
        <v>205.0</v>
      </c>
      <c r="HV1" s="7">
        <v>206.0</v>
      </c>
      <c r="HW1" s="7">
        <v>207.0</v>
      </c>
      <c r="HX1" s="6">
        <v>208.0</v>
      </c>
      <c r="HY1" s="7">
        <v>209.0</v>
      </c>
      <c r="HZ1" s="7">
        <v>210.0</v>
      </c>
      <c r="IA1" s="6">
        <v>211.0</v>
      </c>
      <c r="IB1" s="7">
        <v>212.0</v>
      </c>
      <c r="IC1" s="7">
        <v>213.0</v>
      </c>
      <c r="ID1" s="6">
        <v>214.0</v>
      </c>
      <c r="IE1" s="7">
        <v>215.0</v>
      </c>
      <c r="IF1" s="7">
        <v>216.0</v>
      </c>
      <c r="IG1" s="6">
        <v>217.0</v>
      </c>
      <c r="IH1" s="7">
        <v>218.0</v>
      </c>
      <c r="II1" s="7">
        <v>219.0</v>
      </c>
      <c r="IJ1" s="6">
        <v>220.0</v>
      </c>
      <c r="IK1" s="7">
        <v>221.0</v>
      </c>
      <c r="IL1" s="7">
        <v>222.0</v>
      </c>
      <c r="IM1" s="6">
        <v>223.0</v>
      </c>
      <c r="IN1" s="7">
        <v>224.0</v>
      </c>
      <c r="IO1" s="7">
        <v>225.0</v>
      </c>
      <c r="IP1" s="6">
        <v>226.0</v>
      </c>
      <c r="IQ1" s="7">
        <v>227.0</v>
      </c>
      <c r="IR1" s="7">
        <v>228.0</v>
      </c>
      <c r="IS1" s="6">
        <v>229.0</v>
      </c>
      <c r="IT1" s="7">
        <v>230.0</v>
      </c>
      <c r="IU1" s="7">
        <v>231.0</v>
      </c>
      <c r="IV1" s="6">
        <v>232.0</v>
      </c>
      <c r="IW1" s="7">
        <v>233.0</v>
      </c>
      <c r="IX1" s="7">
        <v>234.0</v>
      </c>
      <c r="IY1" s="6">
        <v>235.0</v>
      </c>
      <c r="IZ1" s="7">
        <v>236.0</v>
      </c>
      <c r="JA1" s="7">
        <v>237.0</v>
      </c>
      <c r="JB1" s="6">
        <v>238.0</v>
      </c>
      <c r="JC1" s="7">
        <v>239.0</v>
      </c>
      <c r="JD1" s="7">
        <v>240.0</v>
      </c>
      <c r="JE1" s="6">
        <v>241.0</v>
      </c>
      <c r="JF1" s="7">
        <v>242.0</v>
      </c>
      <c r="JG1" s="7">
        <v>243.0</v>
      </c>
      <c r="JH1" s="6">
        <v>244.0</v>
      </c>
      <c r="JI1" s="7">
        <v>245.0</v>
      </c>
      <c r="JJ1" s="7">
        <v>246.0</v>
      </c>
      <c r="JK1" s="6">
        <v>247.0</v>
      </c>
      <c r="JL1" s="7">
        <v>248.0</v>
      </c>
      <c r="JM1" s="7">
        <v>249.0</v>
      </c>
      <c r="JN1" s="6">
        <v>250.0</v>
      </c>
      <c r="JO1" s="7">
        <v>251.0</v>
      </c>
      <c r="JP1" s="7">
        <v>252.0</v>
      </c>
      <c r="JQ1" s="6">
        <v>253.0</v>
      </c>
      <c r="JR1" s="7">
        <v>254.0</v>
      </c>
      <c r="JS1" s="7">
        <v>255.0</v>
      </c>
      <c r="JT1" s="6">
        <v>256.0</v>
      </c>
      <c r="JU1" s="7">
        <v>257.0</v>
      </c>
      <c r="JV1" s="7">
        <v>258.0</v>
      </c>
      <c r="JW1" s="6">
        <v>259.0</v>
      </c>
      <c r="JX1" s="7">
        <v>260.0</v>
      </c>
      <c r="JY1" s="7">
        <v>261.0</v>
      </c>
      <c r="JZ1" s="6">
        <v>262.0</v>
      </c>
      <c r="KA1" s="7">
        <v>263.0</v>
      </c>
      <c r="KB1" s="7">
        <v>264.0</v>
      </c>
      <c r="KC1" s="6">
        <v>265.0</v>
      </c>
      <c r="KD1" s="7">
        <v>266.0</v>
      </c>
      <c r="KE1" s="7">
        <v>267.0</v>
      </c>
      <c r="KF1" s="6">
        <v>268.0</v>
      </c>
      <c r="KG1" s="7">
        <v>269.0</v>
      </c>
      <c r="KH1" s="7">
        <v>270.0</v>
      </c>
      <c r="KI1" s="6">
        <v>271.0</v>
      </c>
      <c r="KJ1" s="7">
        <v>272.0</v>
      </c>
      <c r="KK1" s="7">
        <v>273.0</v>
      </c>
      <c r="KL1" s="6">
        <v>274.0</v>
      </c>
      <c r="KM1" s="7">
        <v>275.0</v>
      </c>
      <c r="KN1" s="7">
        <v>276.0</v>
      </c>
      <c r="KO1" s="6">
        <v>277.0</v>
      </c>
      <c r="KP1" s="7">
        <v>278.0</v>
      </c>
      <c r="KQ1" s="7">
        <v>279.0</v>
      </c>
      <c r="KR1" s="6">
        <v>280.0</v>
      </c>
      <c r="KS1" s="7">
        <v>281.0</v>
      </c>
      <c r="KT1" s="7">
        <v>282.0</v>
      </c>
      <c r="KU1" s="6">
        <v>283.0</v>
      </c>
      <c r="KV1" s="7">
        <v>284.0</v>
      </c>
      <c r="KW1" s="7">
        <v>285.0</v>
      </c>
      <c r="KX1" s="6">
        <v>286.0</v>
      </c>
      <c r="KY1" s="6">
        <v>287.0</v>
      </c>
      <c r="KZ1" s="6">
        <v>288.0</v>
      </c>
      <c r="LA1" s="7">
        <v>289.0</v>
      </c>
      <c r="LB1" s="6">
        <v>290.0</v>
      </c>
      <c r="LC1" s="7">
        <v>291.0</v>
      </c>
      <c r="LD1" s="7">
        <v>292.0</v>
      </c>
      <c r="LE1" s="6">
        <v>293.0</v>
      </c>
      <c r="LF1" s="6">
        <v>294.0</v>
      </c>
      <c r="LG1" s="6">
        <v>295.0</v>
      </c>
      <c r="LH1" s="7">
        <v>296.0</v>
      </c>
      <c r="LI1" s="6">
        <v>297.0</v>
      </c>
      <c r="LJ1" s="7">
        <v>298.0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1"/>
      <c r="I2" s="5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8"/>
      <c r="V2" s="8"/>
      <c r="W2" s="8"/>
      <c r="X2" s="8"/>
      <c r="Y2" s="8"/>
      <c r="Z2" s="8" t="s">
        <v>1</v>
      </c>
      <c r="AA2" s="8" t="s">
        <v>1</v>
      </c>
      <c r="AB2" s="8" t="s">
        <v>1</v>
      </c>
      <c r="AC2" s="8" t="s">
        <v>1</v>
      </c>
      <c r="AD2" s="8" t="s">
        <v>1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2</v>
      </c>
      <c r="AX2" s="8" t="s">
        <v>3</v>
      </c>
      <c r="AY2" s="8" t="s">
        <v>3</v>
      </c>
      <c r="AZ2" s="8" t="s">
        <v>4</v>
      </c>
      <c r="BA2" s="8" t="s">
        <v>5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6</v>
      </c>
      <c r="CB2" s="8" t="s">
        <v>7</v>
      </c>
      <c r="CC2" s="8" t="s">
        <v>7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12</v>
      </c>
      <c r="CJ2" s="8" t="s">
        <v>13</v>
      </c>
      <c r="CK2" s="8" t="s">
        <v>13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14</v>
      </c>
      <c r="CY2" s="8" t="s">
        <v>15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16</v>
      </c>
      <c r="DJ2" s="8" t="s">
        <v>17</v>
      </c>
      <c r="DK2" s="8" t="s">
        <v>17</v>
      </c>
      <c r="DL2" s="8" t="s">
        <v>17</v>
      </c>
      <c r="DM2" s="8" t="s">
        <v>18</v>
      </c>
      <c r="DN2" s="8" t="s">
        <v>19</v>
      </c>
      <c r="DO2" s="8" t="s">
        <v>20</v>
      </c>
      <c r="DP2" s="8" t="s">
        <v>21</v>
      </c>
      <c r="DQ2" s="8" t="s">
        <v>21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22</v>
      </c>
      <c r="DX2" s="8" t="s">
        <v>23</v>
      </c>
      <c r="DY2" s="8" t="s">
        <v>23</v>
      </c>
      <c r="DZ2" s="8" t="s">
        <v>24</v>
      </c>
      <c r="EA2" s="8" t="s">
        <v>24</v>
      </c>
      <c r="EB2" s="8" t="s">
        <v>25</v>
      </c>
      <c r="EC2" s="8" t="s">
        <v>25</v>
      </c>
      <c r="ED2" s="8" t="s">
        <v>26</v>
      </c>
      <c r="EE2" s="8" t="s">
        <v>26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27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28</v>
      </c>
      <c r="EQ2" s="8" t="s">
        <v>29</v>
      </c>
      <c r="ER2" s="8" t="s">
        <v>29</v>
      </c>
      <c r="ES2" s="8" t="s">
        <v>29</v>
      </c>
      <c r="ET2" s="8" t="s">
        <v>29</v>
      </c>
      <c r="EU2" s="8" t="s">
        <v>29</v>
      </c>
      <c r="EV2" s="8" t="s">
        <v>29</v>
      </c>
      <c r="EW2" s="8" t="s">
        <v>29</v>
      </c>
      <c r="EX2" s="8" t="s">
        <v>29</v>
      </c>
      <c r="EY2" s="8" t="s">
        <v>30</v>
      </c>
      <c r="EZ2" s="8" t="s">
        <v>30</v>
      </c>
      <c r="FA2" s="8" t="s">
        <v>30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31</v>
      </c>
      <c r="FJ2" s="8" t="s">
        <v>32</v>
      </c>
      <c r="FK2" s="8" t="s">
        <v>32</v>
      </c>
      <c r="FL2" s="8" t="s">
        <v>33</v>
      </c>
      <c r="FM2" s="8" t="s">
        <v>34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35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36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37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38</v>
      </c>
      <c r="HP2" s="8" t="s">
        <v>39</v>
      </c>
      <c r="HQ2" s="8" t="s">
        <v>40</v>
      </c>
      <c r="HR2" s="8" t="s">
        <v>40</v>
      </c>
      <c r="HS2" s="8" t="s">
        <v>40</v>
      </c>
      <c r="HT2" s="8" t="s">
        <v>40</v>
      </c>
      <c r="HU2" s="8" t="s">
        <v>41</v>
      </c>
      <c r="HV2" s="8" t="s">
        <v>41</v>
      </c>
      <c r="HW2" s="8" t="s">
        <v>42</v>
      </c>
      <c r="HX2" s="8" t="s">
        <v>42</v>
      </c>
      <c r="HY2" s="8" t="s">
        <v>42</v>
      </c>
      <c r="HZ2" s="8" t="s">
        <v>42</v>
      </c>
      <c r="IA2" s="8" t="s">
        <v>43</v>
      </c>
      <c r="IB2" s="8" t="s">
        <v>43</v>
      </c>
      <c r="IC2" s="8" t="s">
        <v>43</v>
      </c>
      <c r="ID2" s="8" t="s">
        <v>44</v>
      </c>
      <c r="IE2" s="8" t="s">
        <v>44</v>
      </c>
      <c r="IF2" s="8" t="s">
        <v>44</v>
      </c>
      <c r="IG2" s="8" t="s">
        <v>44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45</v>
      </c>
      <c r="IU2" s="8" t="s">
        <v>46</v>
      </c>
      <c r="IV2" s="8" t="s">
        <v>47</v>
      </c>
      <c r="IW2" s="8" t="s">
        <v>47</v>
      </c>
      <c r="IX2" s="8" t="s">
        <v>47</v>
      </c>
      <c r="IY2" s="8" t="s">
        <v>47</v>
      </c>
      <c r="IZ2" s="8" t="s">
        <v>48</v>
      </c>
      <c r="JA2" s="8" t="s">
        <v>48</v>
      </c>
      <c r="JB2" s="8" t="s">
        <v>48</v>
      </c>
      <c r="JC2" s="8" t="s">
        <v>48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49</v>
      </c>
      <c r="JN2" s="8" t="s">
        <v>50</v>
      </c>
      <c r="JO2" s="8" t="s">
        <v>50</v>
      </c>
      <c r="JP2" s="8" t="s">
        <v>50</v>
      </c>
      <c r="JQ2" s="8" t="s">
        <v>51</v>
      </c>
      <c r="JR2" s="8" t="s">
        <v>51</v>
      </c>
      <c r="JS2" s="8" t="s">
        <v>51</v>
      </c>
      <c r="JT2" s="8" t="s">
        <v>51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52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53</v>
      </c>
      <c r="KK2" s="8" t="s">
        <v>54</v>
      </c>
      <c r="KL2" s="8" t="s">
        <v>54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55</v>
      </c>
      <c r="KW2" s="8" t="s">
        <v>56</v>
      </c>
      <c r="KX2" s="8" t="s">
        <v>57</v>
      </c>
      <c r="KY2" s="12" t="s">
        <v>58</v>
      </c>
      <c r="KZ2" s="12" t="s">
        <v>58</v>
      </c>
      <c r="LA2" s="12" t="s">
        <v>59</v>
      </c>
      <c r="LB2" s="12" t="s">
        <v>59</v>
      </c>
      <c r="LC2" s="12" t="s">
        <v>59</v>
      </c>
      <c r="LD2" s="12" t="s">
        <v>59</v>
      </c>
      <c r="LE2" s="12" t="s">
        <v>59</v>
      </c>
      <c r="LF2" s="12" t="s">
        <v>59</v>
      </c>
      <c r="LG2" s="12" t="s">
        <v>59</v>
      </c>
      <c r="LH2" s="12" t="s">
        <v>59</v>
      </c>
      <c r="LI2" s="12" t="s">
        <v>59</v>
      </c>
      <c r="LJ2" s="12" t="s">
        <v>59</v>
      </c>
    </row>
    <row r="3" ht="12.75" customHeight="1">
      <c r="A3" s="8"/>
      <c r="B3" s="9"/>
      <c r="C3" s="9"/>
      <c r="D3" s="13" t="str">
        <f>VLOOKUP($Q$9,$Y$7:$CC$8,57,0)</f>
        <v>Datos Específicos para Sport Entries</v>
      </c>
      <c r="E3" s="14"/>
      <c r="F3" s="15"/>
      <c r="G3" s="15"/>
      <c r="H3" s="11"/>
      <c r="I3" s="5"/>
      <c r="J3" s="8"/>
      <c r="K3" s="5"/>
      <c r="L3" s="5"/>
      <c r="M3" s="5"/>
      <c r="N3" s="5"/>
      <c r="O3" s="5"/>
      <c r="P3" s="5"/>
      <c r="Y3" s="12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122</v>
      </c>
      <c r="CJ3" s="8" t="s">
        <v>115</v>
      </c>
      <c r="CK3" s="8" t="s">
        <v>116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16" t="s">
        <v>180</v>
      </c>
      <c r="ER3" s="16" t="s">
        <v>181</v>
      </c>
      <c r="ES3" s="16" t="s">
        <v>182</v>
      </c>
      <c r="ET3" s="16" t="s">
        <v>183</v>
      </c>
      <c r="EU3" s="8" t="s">
        <v>184</v>
      </c>
      <c r="EV3" s="8" t="s">
        <v>185</v>
      </c>
      <c r="EW3" s="8" t="s">
        <v>177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196</v>
      </c>
      <c r="FI3" s="8" t="s">
        <v>197</v>
      </c>
      <c r="FJ3" s="8" t="s">
        <v>115</v>
      </c>
      <c r="FK3" s="8" t="s">
        <v>198</v>
      </c>
      <c r="FL3" s="8" t="s">
        <v>199</v>
      </c>
      <c r="FM3" s="8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12" t="s">
        <v>213</v>
      </c>
      <c r="GA3" s="12" t="s">
        <v>214</v>
      </c>
      <c r="GB3" s="8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12" t="s">
        <v>224</v>
      </c>
      <c r="GL3" s="12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264</v>
      </c>
      <c r="HZ3" s="8" t="s">
        <v>265</v>
      </c>
      <c r="IA3" s="8" t="s">
        <v>115</v>
      </c>
      <c r="IB3" s="8" t="s">
        <v>266</v>
      </c>
      <c r="IC3" s="8" t="s">
        <v>267</v>
      </c>
      <c r="ID3" s="8" t="s">
        <v>115</v>
      </c>
      <c r="IE3" s="8" t="s">
        <v>116</v>
      </c>
      <c r="IF3" s="8" t="s">
        <v>85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281</v>
      </c>
      <c r="IU3" s="8" t="s">
        <v>282</v>
      </c>
      <c r="IV3" s="8" t="s">
        <v>115</v>
      </c>
      <c r="IW3" s="8" t="s">
        <v>85</v>
      </c>
      <c r="IX3" s="8" t="s">
        <v>116</v>
      </c>
      <c r="IY3" s="8" t="s">
        <v>268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295</v>
      </c>
      <c r="JM3" s="8" t="s">
        <v>296</v>
      </c>
      <c r="JN3" s="8" t="s">
        <v>115</v>
      </c>
      <c r="JO3" s="8" t="s">
        <v>116</v>
      </c>
      <c r="JP3" s="8" t="s">
        <v>268</v>
      </c>
      <c r="JQ3" s="8" t="s">
        <v>115</v>
      </c>
      <c r="JR3" s="8" t="s">
        <v>85</v>
      </c>
      <c r="JS3" s="8" t="s">
        <v>116</v>
      </c>
      <c r="JT3" s="8" t="s">
        <v>268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311</v>
      </c>
      <c r="KJ3" s="8" t="s">
        <v>312</v>
      </c>
      <c r="KK3" s="8" t="s">
        <v>115</v>
      </c>
      <c r="KL3" s="8" t="s">
        <v>267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8" t="s">
        <v>323</v>
      </c>
      <c r="KX3" s="8" t="s">
        <v>324</v>
      </c>
      <c r="KY3" s="12" t="s">
        <v>325</v>
      </c>
      <c r="KZ3" s="12" t="s">
        <v>326</v>
      </c>
      <c r="LA3" s="7" t="s">
        <v>327</v>
      </c>
      <c r="LB3" s="7" t="s">
        <v>328</v>
      </c>
      <c r="LC3" s="7" t="s">
        <v>329</v>
      </c>
      <c r="LD3" s="7" t="s">
        <v>330</v>
      </c>
      <c r="LE3" s="7" t="s">
        <v>331</v>
      </c>
      <c r="LF3" s="7" t="s">
        <v>332</v>
      </c>
      <c r="LG3" s="7" t="s">
        <v>333</v>
      </c>
      <c r="LH3" s="7" t="s">
        <v>334</v>
      </c>
      <c r="LI3" s="7" t="s">
        <v>335</v>
      </c>
      <c r="LJ3" s="7" t="s">
        <v>336</v>
      </c>
    </row>
    <row r="4" ht="12.75" customHeight="1">
      <c r="A4" s="8"/>
      <c r="B4" s="8"/>
      <c r="C4" s="8"/>
      <c r="E4" s="14"/>
      <c r="F4" s="15"/>
      <c r="G4" s="15"/>
      <c r="H4" s="11"/>
      <c r="I4" s="5"/>
      <c r="J4" s="8"/>
      <c r="K4" s="5"/>
      <c r="L4" s="5"/>
      <c r="M4" s="5"/>
      <c r="N4" s="5"/>
      <c r="O4" s="5"/>
      <c r="P4" s="5"/>
      <c r="Y4" s="12" t="s">
        <v>337</v>
      </c>
      <c r="Z4" s="8" t="s">
        <v>338</v>
      </c>
      <c r="AA4" s="8" t="s">
        <v>339</v>
      </c>
      <c r="AB4" s="8" t="s">
        <v>340</v>
      </c>
      <c r="AC4" s="8" t="s">
        <v>341</v>
      </c>
      <c r="AD4" s="8" t="s">
        <v>342</v>
      </c>
      <c r="AE4" s="8" t="s">
        <v>343</v>
      </c>
      <c r="AF4" s="8" t="s">
        <v>344</v>
      </c>
      <c r="AG4" s="8" t="s">
        <v>345</v>
      </c>
      <c r="AH4" s="8" t="s">
        <v>346</v>
      </c>
      <c r="AI4" s="8" t="s">
        <v>347</v>
      </c>
      <c r="AJ4" s="8" t="s">
        <v>348</v>
      </c>
      <c r="AK4" s="8" t="s">
        <v>349</v>
      </c>
      <c r="AL4" s="8" t="s">
        <v>350</v>
      </c>
      <c r="AM4" s="8" t="s">
        <v>351</v>
      </c>
      <c r="AN4" s="8" t="s">
        <v>352</v>
      </c>
      <c r="AO4" s="8" t="s">
        <v>353</v>
      </c>
      <c r="AP4" s="8" t="s">
        <v>354</v>
      </c>
      <c r="AQ4" s="8" t="s">
        <v>355</v>
      </c>
      <c r="AR4" s="8" t="s">
        <v>356</v>
      </c>
      <c r="AS4" s="8" t="s">
        <v>357</v>
      </c>
      <c r="AT4" s="8" t="s">
        <v>358</v>
      </c>
      <c r="AU4" s="8" t="s">
        <v>359</v>
      </c>
      <c r="AV4" s="8" t="s">
        <v>360</v>
      </c>
      <c r="AW4" s="8" t="s">
        <v>361</v>
      </c>
      <c r="AX4" s="8" t="s">
        <v>362</v>
      </c>
      <c r="AY4" s="8" t="s">
        <v>363</v>
      </c>
      <c r="AZ4" s="12" t="s">
        <v>364</v>
      </c>
      <c r="BA4" s="12" t="s">
        <v>365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95</v>
      </c>
      <c r="BI4" s="8" t="s">
        <v>366</v>
      </c>
      <c r="BJ4" s="8" t="s">
        <v>367</v>
      </c>
      <c r="BK4" s="8" t="s">
        <v>368</v>
      </c>
      <c r="BL4" s="8" t="s">
        <v>99</v>
      </c>
      <c r="BM4" s="8" t="s">
        <v>100</v>
      </c>
      <c r="BN4" s="8" t="s">
        <v>369</v>
      </c>
      <c r="BO4" s="8" t="s">
        <v>370</v>
      </c>
      <c r="BP4" s="8" t="s">
        <v>371</v>
      </c>
      <c r="BQ4" s="8" t="s">
        <v>372</v>
      </c>
      <c r="BR4" s="8" t="s">
        <v>373</v>
      </c>
      <c r="BS4" s="8" t="s">
        <v>374</v>
      </c>
      <c r="BT4" s="8" t="s">
        <v>375</v>
      </c>
      <c r="BU4" s="8" t="s">
        <v>376</v>
      </c>
      <c r="BV4" s="8" t="s">
        <v>377</v>
      </c>
      <c r="BW4" s="8" t="s">
        <v>110</v>
      </c>
      <c r="BX4" s="8" t="s">
        <v>378</v>
      </c>
      <c r="BY4" s="8" t="s">
        <v>379</v>
      </c>
      <c r="BZ4" s="8" t="s">
        <v>380</v>
      </c>
      <c r="CA4" s="8" t="s">
        <v>381</v>
      </c>
      <c r="CB4" s="8" t="s">
        <v>115</v>
      </c>
      <c r="CC4" s="8" t="s">
        <v>363</v>
      </c>
      <c r="CD4" s="8" t="s">
        <v>382</v>
      </c>
      <c r="CE4" s="12" t="s">
        <v>383</v>
      </c>
      <c r="CF4" s="12" t="s">
        <v>384</v>
      </c>
      <c r="CG4" s="12" t="s">
        <v>385</v>
      </c>
      <c r="CH4" s="12" t="s">
        <v>386</v>
      </c>
      <c r="CI4" s="12" t="s">
        <v>387</v>
      </c>
      <c r="CJ4" s="8" t="s">
        <v>115</v>
      </c>
      <c r="CK4" s="8" t="s">
        <v>388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152</v>
      </c>
      <c r="DP4" s="8" t="s">
        <v>389</v>
      </c>
      <c r="DQ4" s="8" t="s">
        <v>390</v>
      </c>
      <c r="DR4" s="8" t="s">
        <v>391</v>
      </c>
      <c r="DS4" s="8" t="s">
        <v>156</v>
      </c>
      <c r="DT4" s="8" t="s">
        <v>157</v>
      </c>
      <c r="DU4" s="8" t="s">
        <v>392</v>
      </c>
      <c r="DV4" s="8" t="s">
        <v>393</v>
      </c>
      <c r="DW4" s="8" t="s">
        <v>160</v>
      </c>
      <c r="DX4" s="8" t="s">
        <v>394</v>
      </c>
      <c r="DY4" s="8" t="s">
        <v>395</v>
      </c>
      <c r="DZ4" s="8" t="s">
        <v>396</v>
      </c>
      <c r="EA4" s="8" t="s">
        <v>397</v>
      </c>
      <c r="EB4" s="8" t="s">
        <v>398</v>
      </c>
      <c r="EC4" s="8" t="s">
        <v>399</v>
      </c>
      <c r="ED4" s="8" t="s">
        <v>400</v>
      </c>
      <c r="EE4" s="8" t="s">
        <v>168</v>
      </c>
      <c r="EF4" s="8" t="s">
        <v>401</v>
      </c>
      <c r="EG4" s="8" t="s">
        <v>402</v>
      </c>
      <c r="EH4" s="8" t="s">
        <v>403</v>
      </c>
      <c r="EI4" s="8" t="s">
        <v>404</v>
      </c>
      <c r="EJ4" s="8" t="s">
        <v>405</v>
      </c>
      <c r="EK4" s="8" t="s">
        <v>406</v>
      </c>
      <c r="EL4" s="8" t="s">
        <v>407</v>
      </c>
      <c r="EM4" s="8" t="s">
        <v>176</v>
      </c>
      <c r="EN4" s="8" t="s">
        <v>408</v>
      </c>
      <c r="EO4" s="8" t="s">
        <v>178</v>
      </c>
      <c r="EP4" s="8" t="s">
        <v>179</v>
      </c>
      <c r="EQ4" s="16" t="s">
        <v>409</v>
      </c>
      <c r="ER4" s="16" t="s">
        <v>410</v>
      </c>
      <c r="ES4" s="16" t="s">
        <v>411</v>
      </c>
      <c r="ET4" s="16" t="s">
        <v>412</v>
      </c>
      <c r="EU4" s="8" t="s">
        <v>413</v>
      </c>
      <c r="EV4" s="8" t="s">
        <v>414</v>
      </c>
      <c r="EW4" s="8" t="s">
        <v>415</v>
      </c>
      <c r="EX4" s="8" t="s">
        <v>416</v>
      </c>
      <c r="EY4" s="8" t="s">
        <v>417</v>
      </c>
      <c r="EZ4" s="8" t="s">
        <v>418</v>
      </c>
      <c r="FA4" s="8" t="s">
        <v>419</v>
      </c>
      <c r="FB4" s="8" t="s">
        <v>420</v>
      </c>
      <c r="FC4" s="8" t="s">
        <v>421</v>
      </c>
      <c r="FD4" s="8" t="s">
        <v>422</v>
      </c>
      <c r="FE4" s="8" t="s">
        <v>423</v>
      </c>
      <c r="FF4" s="8" t="s">
        <v>424</v>
      </c>
      <c r="FG4" s="8" t="s">
        <v>425</v>
      </c>
      <c r="FH4" s="8" t="s">
        <v>426</v>
      </c>
      <c r="FI4" s="8" t="s">
        <v>427</v>
      </c>
      <c r="FJ4" s="8" t="s">
        <v>115</v>
      </c>
      <c r="FK4" s="8" t="s">
        <v>428</v>
      </c>
      <c r="FL4" s="8" t="s">
        <v>199</v>
      </c>
      <c r="FM4" s="12" t="s">
        <v>429</v>
      </c>
      <c r="FN4" s="8" t="s">
        <v>430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12" t="s">
        <v>213</v>
      </c>
      <c r="GA4" s="12" t="s">
        <v>214</v>
      </c>
      <c r="GB4" s="8" t="s">
        <v>431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12" t="s">
        <v>224</v>
      </c>
      <c r="GL4" s="12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235</v>
      </c>
      <c r="GW4" s="8" t="s">
        <v>236</v>
      </c>
      <c r="GX4" s="8" t="s">
        <v>432</v>
      </c>
      <c r="GY4" s="8" t="s">
        <v>433</v>
      </c>
      <c r="GZ4" s="8" t="s">
        <v>434</v>
      </c>
      <c r="HA4" s="8" t="s">
        <v>435</v>
      </c>
      <c r="HB4" s="8" t="s">
        <v>436</v>
      </c>
      <c r="HC4" s="8" t="s">
        <v>437</v>
      </c>
      <c r="HD4" s="8" t="s">
        <v>438</v>
      </c>
      <c r="HE4" s="8" t="s">
        <v>439</v>
      </c>
      <c r="HF4" s="8" t="s">
        <v>440</v>
      </c>
      <c r="HG4" s="8" t="s">
        <v>441</v>
      </c>
      <c r="HH4" s="8" t="s">
        <v>442</v>
      </c>
      <c r="HI4" s="8" t="s">
        <v>443</v>
      </c>
      <c r="HJ4" s="8" t="s">
        <v>444</v>
      </c>
      <c r="HK4" s="8" t="s">
        <v>445</v>
      </c>
      <c r="HL4" s="8" t="s">
        <v>446</v>
      </c>
      <c r="HM4" s="8" t="s">
        <v>447</v>
      </c>
      <c r="HN4" s="8" t="s">
        <v>448</v>
      </c>
      <c r="HO4" s="8" t="s">
        <v>449</v>
      </c>
      <c r="HP4" s="12" t="s">
        <v>450</v>
      </c>
      <c r="HQ4" s="8" t="s">
        <v>451</v>
      </c>
      <c r="HR4" s="8" t="s">
        <v>452</v>
      </c>
      <c r="HS4" s="8" t="s">
        <v>453</v>
      </c>
      <c r="HT4" s="8" t="s">
        <v>454</v>
      </c>
      <c r="HU4" s="8" t="s">
        <v>260</v>
      </c>
      <c r="HV4" s="8" t="s">
        <v>261</v>
      </c>
      <c r="HW4" s="8" t="s">
        <v>455</v>
      </c>
      <c r="HX4" s="8" t="s">
        <v>456</v>
      </c>
      <c r="HY4" s="8" t="s">
        <v>457</v>
      </c>
      <c r="HZ4" s="8" t="s">
        <v>265</v>
      </c>
      <c r="IA4" s="8" t="s">
        <v>115</v>
      </c>
      <c r="IB4" s="8" t="s">
        <v>458</v>
      </c>
      <c r="IC4" s="8" t="s">
        <v>459</v>
      </c>
      <c r="ID4" s="8" t="s">
        <v>115</v>
      </c>
      <c r="IE4" s="8" t="s">
        <v>388</v>
      </c>
      <c r="IF4" s="8" t="s">
        <v>362</v>
      </c>
      <c r="IG4" s="8" t="s">
        <v>382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279</v>
      </c>
      <c r="IS4" s="8" t="s">
        <v>280</v>
      </c>
      <c r="IT4" s="8" t="s">
        <v>460</v>
      </c>
      <c r="IU4" s="12" t="s">
        <v>282</v>
      </c>
      <c r="IV4" s="8" t="s">
        <v>115</v>
      </c>
      <c r="IW4" s="8" t="s">
        <v>388</v>
      </c>
      <c r="IX4" s="8" t="s">
        <v>362</v>
      </c>
      <c r="IY4" s="8" t="s">
        <v>382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293</v>
      </c>
      <c r="JK4" s="8" t="s">
        <v>294</v>
      </c>
      <c r="JL4" s="8" t="s">
        <v>461</v>
      </c>
      <c r="JM4" s="8" t="s">
        <v>462</v>
      </c>
      <c r="JN4" s="8" t="s">
        <v>115</v>
      </c>
      <c r="JO4" s="8" t="s">
        <v>388</v>
      </c>
      <c r="JP4" s="8" t="s">
        <v>382</v>
      </c>
      <c r="JQ4" s="8" t="s">
        <v>115</v>
      </c>
      <c r="JR4" s="8" t="s">
        <v>362</v>
      </c>
      <c r="JS4" s="8" t="s">
        <v>388</v>
      </c>
      <c r="JT4" s="8" t="s">
        <v>382</v>
      </c>
      <c r="JU4" s="8" t="s">
        <v>463</v>
      </c>
      <c r="JV4" s="8" t="s">
        <v>464</v>
      </c>
      <c r="JW4" s="8" t="s">
        <v>465</v>
      </c>
      <c r="JX4" s="8" t="s">
        <v>466</v>
      </c>
      <c r="JY4" s="8" t="s">
        <v>467</v>
      </c>
      <c r="JZ4" s="8" t="s">
        <v>468</v>
      </c>
      <c r="KA4" s="8" t="s">
        <v>469</v>
      </c>
      <c r="KB4" s="8" t="s">
        <v>470</v>
      </c>
      <c r="KC4" s="8" t="s">
        <v>471</v>
      </c>
      <c r="KD4" s="8" t="s">
        <v>472</v>
      </c>
      <c r="KE4" s="8" t="s">
        <v>473</v>
      </c>
      <c r="KF4" s="8" t="s">
        <v>308</v>
      </c>
      <c r="KG4" s="8" t="s">
        <v>309</v>
      </c>
      <c r="KH4" s="8" t="s">
        <v>474</v>
      </c>
      <c r="KI4" s="8" t="s">
        <v>475</v>
      </c>
      <c r="KJ4" s="8" t="s">
        <v>476</v>
      </c>
      <c r="KK4" s="8" t="s">
        <v>115</v>
      </c>
      <c r="KL4" s="8" t="s">
        <v>459</v>
      </c>
      <c r="KM4" s="8" t="s">
        <v>477</v>
      </c>
      <c r="KN4" s="8" t="s">
        <v>478</v>
      </c>
      <c r="KO4" s="8" t="s">
        <v>479</v>
      </c>
      <c r="KP4" s="8" t="s">
        <v>480</v>
      </c>
      <c r="KQ4" s="8" t="s">
        <v>481</v>
      </c>
      <c r="KR4" s="8" t="s">
        <v>482</v>
      </c>
      <c r="KS4" s="8" t="s">
        <v>319</v>
      </c>
      <c r="KT4" s="8" t="s">
        <v>483</v>
      </c>
      <c r="KU4" s="8" t="s">
        <v>484</v>
      </c>
      <c r="KV4" s="8" t="s">
        <v>485</v>
      </c>
      <c r="KW4" s="12" t="s">
        <v>486</v>
      </c>
      <c r="KX4" s="12" t="s">
        <v>487</v>
      </c>
      <c r="KY4" s="12" t="s">
        <v>488</v>
      </c>
      <c r="KZ4" s="12" t="s">
        <v>489</v>
      </c>
      <c r="LA4" s="7" t="s">
        <v>490</v>
      </c>
      <c r="LB4" s="7" t="s">
        <v>491</v>
      </c>
      <c r="LC4" s="7" t="s">
        <v>492</v>
      </c>
      <c r="LD4" s="7" t="s">
        <v>493</v>
      </c>
      <c r="LE4" s="7" t="s">
        <v>494</v>
      </c>
      <c r="LF4" s="7" t="s">
        <v>495</v>
      </c>
      <c r="LG4" s="7" t="s">
        <v>496</v>
      </c>
      <c r="LH4" s="7" t="s">
        <v>497</v>
      </c>
      <c r="LI4" s="7" t="s">
        <v>498</v>
      </c>
      <c r="LJ4" s="7" t="s">
        <v>499</v>
      </c>
    </row>
    <row r="5" ht="12.75" customHeight="1">
      <c r="A5" s="8"/>
      <c r="B5" s="8"/>
      <c r="C5" s="8"/>
      <c r="D5" s="17" t="str">
        <f>VLOOKUP($Q$9,$Y$7:$CB$8,21,0)</f>
        <v>Fútbol</v>
      </c>
      <c r="E5" s="18"/>
      <c r="F5" s="10"/>
      <c r="G5" s="10"/>
      <c r="H5" s="11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12" t="s">
        <v>60</v>
      </c>
      <c r="Z5" s="12" t="s">
        <v>500</v>
      </c>
      <c r="AA5" s="12" t="s">
        <v>501</v>
      </c>
      <c r="AB5" s="12" t="s">
        <v>58</v>
      </c>
      <c r="AC5" s="12" t="s">
        <v>502</v>
      </c>
      <c r="AD5" s="12" t="s">
        <v>503</v>
      </c>
      <c r="AE5" s="12" t="s">
        <v>504</v>
      </c>
      <c r="AF5" s="12" t="s">
        <v>505</v>
      </c>
      <c r="AG5" s="12" t="s">
        <v>506</v>
      </c>
      <c r="AH5" s="12" t="s">
        <v>507</v>
      </c>
      <c r="AI5" s="12" t="s">
        <v>508</v>
      </c>
      <c r="AJ5" s="12" t="s">
        <v>509</v>
      </c>
      <c r="AK5" s="12" t="s">
        <v>510</v>
      </c>
      <c r="AL5" s="12" t="s">
        <v>511</v>
      </c>
      <c r="AM5" s="12" t="s">
        <v>512</v>
      </c>
      <c r="AN5" s="12" t="s">
        <v>513</v>
      </c>
      <c r="AO5" s="12" t="s">
        <v>514</v>
      </c>
      <c r="AP5" s="12" t="s">
        <v>515</v>
      </c>
      <c r="AQ5" s="12" t="s">
        <v>516</v>
      </c>
      <c r="AR5" s="12" t="s">
        <v>517</v>
      </c>
      <c r="AS5" s="12" t="s">
        <v>518</v>
      </c>
      <c r="AT5" s="12" t="s">
        <v>519</v>
      </c>
      <c r="AU5" s="12" t="s">
        <v>520</v>
      </c>
      <c r="AV5" s="12" t="s">
        <v>521</v>
      </c>
      <c r="AW5" s="12" t="s">
        <v>522</v>
      </c>
      <c r="AX5" s="12" t="s">
        <v>523</v>
      </c>
      <c r="AY5" s="10" t="s">
        <v>524</v>
      </c>
      <c r="AZ5" s="12" t="s">
        <v>525</v>
      </c>
      <c r="BA5" s="12" t="s">
        <v>526</v>
      </c>
      <c r="BB5" s="12" t="s">
        <v>527</v>
      </c>
      <c r="BC5" s="12" t="s">
        <v>528</v>
      </c>
      <c r="BD5" s="12" t="s">
        <v>529</v>
      </c>
      <c r="BE5" s="12" t="s">
        <v>59</v>
      </c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</row>
    <row r="6" ht="12.75" customHeight="1">
      <c r="A6" s="8"/>
      <c r="B6" s="8"/>
      <c r="C6" s="8"/>
      <c r="E6" s="18"/>
      <c r="F6" s="10"/>
      <c r="G6" s="10"/>
      <c r="H6" s="11"/>
      <c r="I6" s="5"/>
      <c r="J6" s="8"/>
      <c r="K6" s="5"/>
      <c r="L6" s="5"/>
      <c r="M6" s="5"/>
      <c r="N6" s="5"/>
      <c r="O6" s="5"/>
      <c r="P6" s="5"/>
      <c r="Q6" s="5"/>
      <c r="R6" s="5"/>
      <c r="Y6" s="12" t="s">
        <v>337</v>
      </c>
      <c r="Z6" s="8" t="s">
        <v>530</v>
      </c>
      <c r="AA6" s="8" t="s">
        <v>531</v>
      </c>
      <c r="AB6" s="8" t="s">
        <v>532</v>
      </c>
      <c r="AC6" s="8" t="s">
        <v>533</v>
      </c>
      <c r="AD6" s="12" t="s">
        <v>534</v>
      </c>
      <c r="AE6" s="12" t="s">
        <v>535</v>
      </c>
      <c r="AF6" s="12" t="s">
        <v>536</v>
      </c>
      <c r="AG6" s="12" t="s">
        <v>537</v>
      </c>
      <c r="AH6" s="12" t="s">
        <v>538</v>
      </c>
      <c r="AI6" s="12" t="s">
        <v>539</v>
      </c>
      <c r="AJ6" s="12" t="s">
        <v>540</v>
      </c>
      <c r="AK6" s="12" t="s">
        <v>541</v>
      </c>
      <c r="AL6" s="12" t="s">
        <v>542</v>
      </c>
      <c r="AM6" s="12" t="s">
        <v>543</v>
      </c>
      <c r="AN6" s="12" t="s">
        <v>544</v>
      </c>
      <c r="AO6" s="12" t="s">
        <v>545</v>
      </c>
      <c r="AP6" s="12" t="s">
        <v>546</v>
      </c>
      <c r="AQ6" s="12" t="s">
        <v>547</v>
      </c>
      <c r="AR6" s="12" t="s">
        <v>548</v>
      </c>
      <c r="AS6" s="12" t="s">
        <v>549</v>
      </c>
      <c r="AT6" s="12" t="s">
        <v>550</v>
      </c>
      <c r="AU6" s="12" t="s">
        <v>551</v>
      </c>
      <c r="AV6" s="12" t="s">
        <v>552</v>
      </c>
      <c r="AW6" s="12" t="s">
        <v>553</v>
      </c>
      <c r="AX6" s="12" t="s">
        <v>554</v>
      </c>
      <c r="AY6" s="10" t="s">
        <v>555</v>
      </c>
      <c r="AZ6" s="12" t="s">
        <v>556</v>
      </c>
      <c r="BA6" s="12" t="s">
        <v>557</v>
      </c>
      <c r="BB6" s="12" t="s">
        <v>558</v>
      </c>
      <c r="BC6" s="12" t="s">
        <v>559</v>
      </c>
      <c r="BD6" s="12" t="s">
        <v>560</v>
      </c>
      <c r="BE6" s="12" t="s">
        <v>561</v>
      </c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</row>
    <row r="7" ht="13.5" customHeight="1">
      <c r="A7" s="8"/>
      <c r="B7" s="8"/>
      <c r="C7" s="8"/>
      <c r="D7" s="19"/>
      <c r="E7" s="18"/>
      <c r="F7" s="10"/>
      <c r="G7" s="10"/>
      <c r="H7" s="11"/>
      <c r="I7" s="5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8"/>
      <c r="V7" s="8"/>
      <c r="W7" s="8"/>
      <c r="X7" s="8"/>
      <c r="Y7" s="12" t="s">
        <v>60</v>
      </c>
      <c r="Z7" s="12" t="s">
        <v>562</v>
      </c>
      <c r="AA7" s="12" t="s">
        <v>563</v>
      </c>
      <c r="AB7" s="12" t="s">
        <v>564</v>
      </c>
      <c r="AC7" s="12" t="s">
        <v>121</v>
      </c>
      <c r="AD7" s="12" t="s">
        <v>565</v>
      </c>
      <c r="AE7" s="12" t="s">
        <v>119</v>
      </c>
      <c r="AF7" s="12" t="s">
        <v>118</v>
      </c>
      <c r="AG7" s="12" t="s">
        <v>136</v>
      </c>
      <c r="AH7" s="12" t="s">
        <v>150</v>
      </c>
      <c r="AI7" s="12" t="s">
        <v>151</v>
      </c>
      <c r="AJ7" s="12" t="s">
        <v>566</v>
      </c>
      <c r="AK7" s="12" t="s">
        <v>567</v>
      </c>
      <c r="AL7" s="12" t="s">
        <v>568</v>
      </c>
      <c r="AM7" s="12" t="s">
        <v>569</v>
      </c>
      <c r="AN7" s="12" t="s">
        <v>570</v>
      </c>
      <c r="AO7" s="12" t="s">
        <v>571</v>
      </c>
      <c r="AP7" s="12" t="s">
        <v>572</v>
      </c>
      <c r="AQ7" s="12" t="s">
        <v>573</v>
      </c>
      <c r="AR7" s="12" t="s">
        <v>574</v>
      </c>
      <c r="AS7" s="12" t="s">
        <v>575</v>
      </c>
      <c r="AT7" s="12" t="s">
        <v>576</v>
      </c>
      <c r="AU7" s="12" t="s">
        <v>577</v>
      </c>
      <c r="AV7" s="12" t="s">
        <v>199</v>
      </c>
      <c r="AW7" s="12" t="s">
        <v>578</v>
      </c>
      <c r="AX7" s="12" t="s">
        <v>579</v>
      </c>
      <c r="AY7" s="12" t="s">
        <v>120</v>
      </c>
      <c r="AZ7" s="12" t="s">
        <v>200</v>
      </c>
      <c r="BA7" s="12" t="s">
        <v>580</v>
      </c>
      <c r="BB7" s="12" t="s">
        <v>581</v>
      </c>
      <c r="BC7" s="12" t="s">
        <v>582</v>
      </c>
      <c r="BD7" s="12" t="s">
        <v>583</v>
      </c>
      <c r="BE7" s="12" t="s">
        <v>584</v>
      </c>
      <c r="BF7" s="12" t="s">
        <v>585</v>
      </c>
      <c r="BG7" s="12" t="s">
        <v>586</v>
      </c>
      <c r="BH7" s="12" t="s">
        <v>587</v>
      </c>
      <c r="BI7" s="12" t="s">
        <v>282</v>
      </c>
      <c r="BJ7" s="12" t="s">
        <v>588</v>
      </c>
      <c r="BK7" s="12" t="s">
        <v>122</v>
      </c>
      <c r="BL7" s="12" t="s">
        <v>589</v>
      </c>
      <c r="BM7" s="12" t="s">
        <v>590</v>
      </c>
      <c r="BN7" s="12" t="s">
        <v>591</v>
      </c>
      <c r="BO7" s="12" t="s">
        <v>592</v>
      </c>
      <c r="BP7" s="12" t="s">
        <v>593</v>
      </c>
      <c r="BQ7" s="12" t="s">
        <v>594</v>
      </c>
      <c r="BR7" s="12" t="s">
        <v>595</v>
      </c>
      <c r="BS7" s="12" t="s">
        <v>596</v>
      </c>
      <c r="BT7" s="12" t="s">
        <v>597</v>
      </c>
      <c r="BU7" s="12" t="s">
        <v>598</v>
      </c>
      <c r="BV7" s="12" t="s">
        <v>599</v>
      </c>
      <c r="BW7" s="12" t="s">
        <v>324</v>
      </c>
      <c r="BX7" s="12" t="s">
        <v>323</v>
      </c>
      <c r="BY7" s="12" t="s">
        <v>600</v>
      </c>
      <c r="BZ7" s="12" t="s">
        <v>601</v>
      </c>
      <c r="CA7" s="12" t="s">
        <v>602</v>
      </c>
      <c r="CB7" s="12" t="s">
        <v>603</v>
      </c>
      <c r="CC7" s="12" t="s">
        <v>604</v>
      </c>
      <c r="CD7" s="7" t="s">
        <v>605</v>
      </c>
    </row>
    <row r="8" ht="13.5" customHeight="1">
      <c r="A8" s="8"/>
      <c r="B8" s="8"/>
      <c r="C8" s="8"/>
      <c r="D8" s="8"/>
      <c r="E8" s="10"/>
      <c r="F8" s="10"/>
      <c r="G8" s="10"/>
      <c r="H8" s="11"/>
      <c r="I8" s="5"/>
      <c r="J8" s="8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12" t="s">
        <v>337</v>
      </c>
      <c r="Z8" s="12" t="s">
        <v>606</v>
      </c>
      <c r="AA8" s="12" t="s">
        <v>607</v>
      </c>
      <c r="AB8" s="12" t="s">
        <v>608</v>
      </c>
      <c r="AC8" s="12" t="s">
        <v>386</v>
      </c>
      <c r="AD8" s="12" t="s">
        <v>609</v>
      </c>
      <c r="AE8" s="12" t="s">
        <v>384</v>
      </c>
      <c r="AF8" s="12" t="s">
        <v>383</v>
      </c>
      <c r="AG8" s="12" t="s">
        <v>136</v>
      </c>
      <c r="AH8" s="12" t="s">
        <v>150</v>
      </c>
      <c r="AI8" s="12" t="s">
        <v>151</v>
      </c>
      <c r="AJ8" s="12" t="s">
        <v>610</v>
      </c>
      <c r="AK8" s="12" t="s">
        <v>567</v>
      </c>
      <c r="AL8" s="12" t="s">
        <v>611</v>
      </c>
      <c r="AM8" s="12" t="s">
        <v>612</v>
      </c>
      <c r="AN8" s="12" t="s">
        <v>613</v>
      </c>
      <c r="AO8" s="12" t="s">
        <v>614</v>
      </c>
      <c r="AP8" s="12" t="s">
        <v>615</v>
      </c>
      <c r="AQ8" s="12" t="s">
        <v>616</v>
      </c>
      <c r="AR8" s="12" t="s">
        <v>617</v>
      </c>
      <c r="AS8" s="12" t="s">
        <v>618</v>
      </c>
      <c r="AT8" s="12" t="s">
        <v>619</v>
      </c>
      <c r="AU8" s="12" t="s">
        <v>620</v>
      </c>
      <c r="AV8" s="12" t="s">
        <v>199</v>
      </c>
      <c r="AW8" s="12" t="s">
        <v>621</v>
      </c>
      <c r="AX8" s="12" t="s">
        <v>622</v>
      </c>
      <c r="AY8" s="12" t="s">
        <v>385</v>
      </c>
      <c r="AZ8" s="12" t="s">
        <v>429</v>
      </c>
      <c r="BA8" s="12" t="s">
        <v>580</v>
      </c>
      <c r="BB8" s="12" t="s">
        <v>581</v>
      </c>
      <c r="BC8" s="12" t="s">
        <v>623</v>
      </c>
      <c r="BD8" s="12" t="s">
        <v>624</v>
      </c>
      <c r="BE8" s="12" t="s">
        <v>365</v>
      </c>
      <c r="BF8" s="12" t="s">
        <v>625</v>
      </c>
      <c r="BG8" s="12" t="s">
        <v>626</v>
      </c>
      <c r="BH8" s="12" t="s">
        <v>627</v>
      </c>
      <c r="BI8" s="12" t="s">
        <v>282</v>
      </c>
      <c r="BJ8" s="12" t="s">
        <v>628</v>
      </c>
      <c r="BK8" s="12" t="s">
        <v>387</v>
      </c>
      <c r="BL8" s="12" t="s">
        <v>629</v>
      </c>
      <c r="BM8" s="12" t="s">
        <v>590</v>
      </c>
      <c r="BN8" s="12" t="s">
        <v>591</v>
      </c>
      <c r="BO8" s="12" t="s">
        <v>630</v>
      </c>
      <c r="BP8" s="12" t="s">
        <v>631</v>
      </c>
      <c r="BQ8" s="12" t="s">
        <v>632</v>
      </c>
      <c r="BR8" s="12" t="s">
        <v>633</v>
      </c>
      <c r="BS8" s="12" t="s">
        <v>634</v>
      </c>
      <c r="BT8" s="12" t="s">
        <v>597</v>
      </c>
      <c r="BU8" s="12" t="s">
        <v>635</v>
      </c>
      <c r="BV8" s="12" t="s">
        <v>636</v>
      </c>
      <c r="BW8" s="12" t="s">
        <v>487</v>
      </c>
      <c r="BX8" s="12" t="s">
        <v>486</v>
      </c>
      <c r="BY8" s="12" t="s">
        <v>637</v>
      </c>
      <c r="BZ8" s="12" t="s">
        <v>364</v>
      </c>
      <c r="CA8" s="12" t="s">
        <v>638</v>
      </c>
      <c r="CB8" s="12" t="s">
        <v>639</v>
      </c>
      <c r="CC8" s="12" t="s">
        <v>640</v>
      </c>
      <c r="CD8" s="7" t="s">
        <v>641</v>
      </c>
    </row>
    <row r="9" ht="17.25" customHeight="1">
      <c r="A9" s="8"/>
      <c r="B9" s="20" t="str">
        <f>VLOOKUP($Q$9,$Y$7:$CD$8,58,0)</f>
        <v>Datos del Atleta</v>
      </c>
      <c r="C9" s="21"/>
      <c r="D9" s="21"/>
      <c r="E9" s="10"/>
      <c r="F9" s="22"/>
      <c r="G9" s="8"/>
      <c r="K9" s="5"/>
      <c r="L9" s="5"/>
      <c r="M9" s="5"/>
      <c r="N9" s="5"/>
      <c r="O9" s="5"/>
      <c r="P9" s="5"/>
      <c r="Q9" s="23" t="s">
        <v>60</v>
      </c>
      <c r="S9" s="5"/>
      <c r="T9" s="5"/>
      <c r="U9" s="8"/>
      <c r="V9" s="8"/>
      <c r="W9" s="8"/>
      <c r="X9" s="8"/>
      <c r="Y9" s="12"/>
      <c r="AH9" s="12"/>
    </row>
    <row r="10" ht="45.0" customHeight="1">
      <c r="A10" s="8"/>
      <c r="B10" s="24" t="s">
        <v>642</v>
      </c>
      <c r="C10" s="25" t="str">
        <f>VLOOKUP($Q$9,$Y$5:$AG$6,2,0)</f>
        <v>Apellido</v>
      </c>
      <c r="D10" s="25" t="str">
        <f>VLOOKUP($Q$9,$Y$5:$AG$6,3,0)</f>
        <v>Nombre</v>
      </c>
      <c r="E10" s="25" t="str">
        <f>VLOOKUP($Q$9,$Y$5:$AG$6,4,0)</f>
        <v>Genero</v>
      </c>
      <c r="F10" s="25" t="str">
        <f>VLOOKUP($Q$9,$Y$5:$AG$6,5,0)</f>
        <v>Evento Deportivo</v>
      </c>
      <c r="G10" s="26" t="str">
        <f>VLOOKUP($Q$9,$Y$5:LJ$6,6,0)</f>
        <v>Peso</v>
      </c>
      <c r="H10" s="26" t="str">
        <f>VLOOKUP($Q$9,$Y$5:LJ$6,7,0)</f>
        <v>Estatura</v>
      </c>
      <c r="I10" s="26" t="str">
        <f>VLOOKUP($Q$9,$Y$5:LJ$6,8,0)</f>
        <v>ID de Federación Internacional</v>
      </c>
      <c r="J10" s="26" t="str">
        <f>VLOOKUP($Q$9,$Y$5:LJ$6,22,0)</f>
        <v>Color uniforme primario</v>
      </c>
      <c r="K10" s="26" t="str">
        <f>VLOOKUP($Q$9,$Y$5:LJ$6,23,0)</f>
        <v>Color uniforme secundario</v>
      </c>
      <c r="L10" s="26" t="str">
        <f>VLOOKUP($Q$9,$Y$5:LJ$6,27,0)</f>
        <v>Color tercer uniforme</v>
      </c>
      <c r="M10" s="26" t="str">
        <f>VLOOKUP($Q$9,$Y$5:LJ$6,24,0)</f>
        <v>Número en uniforme</v>
      </c>
      <c r="N10" s="26" t="str">
        <f>VLOOKUP($Q$9,$Y$5:LJ$6,25,0)</f>
        <v>Nombre en uniforme</v>
      </c>
      <c r="O10" s="26" t="str">
        <f>VLOOKUP($Q$9,$Y$5:LJ$6,29,0)</f>
        <v>Nombre de club</v>
      </c>
      <c r="P10" s="26" t="str">
        <f>VLOOKUP($Q$9,$Y$5:LJ$6,30,0)</f>
        <v>País del Club</v>
      </c>
      <c r="Q10" s="26" t="str">
        <f>VLOOKUP($Q$9,$Y$5:LJ$6,26,0)</f>
        <v>Posición de juego</v>
      </c>
      <c r="R10" s="5"/>
      <c r="S10" s="5"/>
      <c r="T10" s="5"/>
      <c r="U10" s="8"/>
      <c r="V10" s="8"/>
      <c r="W10" s="8"/>
      <c r="X10" s="8"/>
      <c r="Y10" s="12"/>
    </row>
    <row r="11" ht="13.5" customHeight="1">
      <c r="A11" s="27"/>
      <c r="B11" s="28">
        <v>1.0</v>
      </c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5"/>
      <c r="S11" s="5"/>
      <c r="T11" s="5"/>
      <c r="U11" s="27"/>
      <c r="V11" s="27"/>
      <c r="W11" s="27"/>
      <c r="X11" s="27"/>
      <c r="Y11" s="12"/>
      <c r="Z11" s="12" t="s">
        <v>643</v>
      </c>
      <c r="AA11" s="12" t="s">
        <v>644</v>
      </c>
      <c r="AB11" s="12" t="s">
        <v>645</v>
      </c>
      <c r="AC11" s="12" t="s">
        <v>646</v>
      </c>
      <c r="AD11" s="12" t="s">
        <v>647</v>
      </c>
      <c r="AE11" s="12" t="s">
        <v>648</v>
      </c>
      <c r="AF11" s="12" t="s">
        <v>649</v>
      </c>
      <c r="AG11" s="12" t="s">
        <v>650</v>
      </c>
      <c r="AH11" s="12" t="s">
        <v>651</v>
      </c>
      <c r="AI11" s="12" t="s">
        <v>652</v>
      </c>
      <c r="AJ11" s="12" t="s">
        <v>653</v>
      </c>
      <c r="AK11" s="12" t="s">
        <v>654</v>
      </c>
      <c r="AL11" s="12" t="s">
        <v>655</v>
      </c>
      <c r="AM11" s="12" t="s">
        <v>656</v>
      </c>
      <c r="AN11" s="12" t="s">
        <v>657</v>
      </c>
      <c r="AO11" s="12" t="s">
        <v>658</v>
      </c>
      <c r="AP11" s="12" t="s">
        <v>659</v>
      </c>
      <c r="AQ11" s="12" t="s">
        <v>660</v>
      </c>
      <c r="AR11" s="12" t="s">
        <v>661</v>
      </c>
      <c r="AS11" s="12" t="s">
        <v>662</v>
      </c>
      <c r="AT11" s="12" t="s">
        <v>663</v>
      </c>
      <c r="AU11" s="12" t="s">
        <v>664</v>
      </c>
      <c r="AV11" s="12" t="s">
        <v>665</v>
      </c>
      <c r="AW11" s="12" t="s">
        <v>666</v>
      </c>
      <c r="AX11" s="12" t="s">
        <v>667</v>
      </c>
      <c r="AY11" s="12" t="s">
        <v>668</v>
      </c>
      <c r="AZ11" s="12" t="s">
        <v>669</v>
      </c>
      <c r="BA11" s="12" t="s">
        <v>670</v>
      </c>
      <c r="BB11" s="12" t="s">
        <v>671</v>
      </c>
      <c r="BC11" s="12" t="s">
        <v>672</v>
      </c>
      <c r="BD11" s="12" t="s">
        <v>673</v>
      </c>
      <c r="BE11" s="12" t="s">
        <v>674</v>
      </c>
      <c r="BF11" s="12" t="s">
        <v>675</v>
      </c>
      <c r="BG11" s="12" t="s">
        <v>676</v>
      </c>
      <c r="BH11" s="12" t="s">
        <v>677</v>
      </c>
      <c r="BI11" s="12" t="s">
        <v>678</v>
      </c>
      <c r="BJ11" s="12" t="s">
        <v>679</v>
      </c>
      <c r="BK11" s="12" t="s">
        <v>680</v>
      </c>
      <c r="BL11" s="12" t="s">
        <v>681</v>
      </c>
      <c r="BM11" s="12" t="s">
        <v>682</v>
      </c>
      <c r="BN11" s="12" t="s">
        <v>683</v>
      </c>
      <c r="BO11" s="12" t="s">
        <v>684</v>
      </c>
      <c r="BP11" s="12" t="s">
        <v>685</v>
      </c>
      <c r="BQ11" s="12" t="s">
        <v>686</v>
      </c>
      <c r="BR11" s="12" t="s">
        <v>687</v>
      </c>
      <c r="BS11" s="12" t="s">
        <v>688</v>
      </c>
      <c r="BT11" s="12" t="s">
        <v>689</v>
      </c>
      <c r="BU11" s="12" t="s">
        <v>690</v>
      </c>
      <c r="BV11" s="12" t="s">
        <v>691</v>
      </c>
      <c r="BW11" s="12" t="s">
        <v>692</v>
      </c>
      <c r="BX11" s="12" t="s">
        <v>693</v>
      </c>
      <c r="BY11" s="12" t="s">
        <v>694</v>
      </c>
      <c r="BZ11" s="12" t="s">
        <v>695</v>
      </c>
      <c r="CA11" s="12" t="s">
        <v>696</v>
      </c>
      <c r="CB11" s="12" t="s">
        <v>697</v>
      </c>
      <c r="CC11" s="12" t="s">
        <v>698</v>
      </c>
      <c r="CD11" s="12" t="s">
        <v>699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5"/>
      <c r="S12" s="5"/>
      <c r="T12" s="5"/>
      <c r="U12" s="8"/>
      <c r="V12" s="8"/>
      <c r="W12" s="8"/>
      <c r="X12" s="8"/>
      <c r="Y12" s="12"/>
      <c r="Z12" s="8" t="str">
        <f>VLOOKUP($Q$9,$Y$3:$KX$4,257,0)</f>
        <v>Recurvo Individual</v>
      </c>
      <c r="AA12" s="8" t="str">
        <f>VLOOKUP($Q$9,$Y$3:$KX$4,200,0)</f>
        <v>Libre</v>
      </c>
      <c r="AB12" s="8" t="str">
        <f>VLOOKUP($Q$9,$Y$3:$KX$4,30,0)</f>
        <v>100m</v>
      </c>
      <c r="AC12" s="8" t="str">
        <f>VLOOKUP($Q$9,$Y$3:$KX$4,62,0)</f>
        <v>Béisbol</v>
      </c>
      <c r="AD12" s="8" t="str">
        <f>VLOOKUP($Q$9,$Y$3:$KX$4,56,0)</f>
        <v>Individual</v>
      </c>
      <c r="AE12" s="8" t="str">
        <f>VLOOKUP($Q$9,$Y$3:$KX$4,60,0)</f>
        <v>Básquetbol 3x3</v>
      </c>
      <c r="AF12" s="8" t="str">
        <f>VLOOKUP($Q$9,$Y$3:$KX$4,59,0)</f>
        <v>Básquetbol</v>
      </c>
      <c r="AG12" s="8" t="str">
        <f>VLOOKUP($Q$9,$Y$3:$KX$4,79,0)</f>
        <v>Breaking</v>
      </c>
      <c r="AH12" s="8" t="str">
        <f>VLOOKUP($Q$9,$Y$3:$KX$4,93,0)</f>
        <v>BMX Freestyle</v>
      </c>
      <c r="AI12" s="8" t="s">
        <v>151</v>
      </c>
      <c r="AJ12" s="8" t="str">
        <f>VLOOKUP($Q$9,$Y$3:$KX$4,66,0)</f>
        <v>M 51 Kg</v>
      </c>
      <c r="AK12" s="8" t="str">
        <f>VLOOKUP($Q$9,$Y$3:$KX$4,64,0)</f>
        <v>Individual</v>
      </c>
      <c r="AL12" s="8" t="str">
        <f>VLOOKUP($Q$9,$Y$3:$KX$4,110,0)</f>
        <v>Velocidad</v>
      </c>
      <c r="AM12" s="8" t="str">
        <f>VLOOKUP($Q$9,$Y$3:$KX$4,96,0)</f>
        <v>Contrareloj</v>
      </c>
      <c r="AN12" s="8" t="str">
        <f>VLOOKUP($Q$9,$Y$3:$KX$4,90,0)</f>
        <v>K1</v>
      </c>
      <c r="AO12" s="8" t="str">
        <f>VLOOKUP($Q$9,$Y$3:$KX$4,80,0)</f>
        <v>MK1 1,000m</v>
      </c>
      <c r="AP12" s="8" t="str">
        <f>VLOOKUP($Q$9,$Y$3:$KX$4,98,0)</f>
        <v>Velocidad Individual</v>
      </c>
      <c r="AQ12" s="8" t="str">
        <f>VLOOKUP($Q$9,$Y$3:$KX$4,2,0)</f>
        <v>Individual 1m Trampolín</v>
      </c>
      <c r="AR12" s="8" t="str">
        <f>VLOOKUP($Q$9,$Y$3:$KX$4,104,0)</f>
        <v>Adiestramiento Individual</v>
      </c>
      <c r="AS12" s="8" t="str">
        <f>VLOOKUP($Q$9,$Y$3:$KX$4,123,0)</f>
        <v>Portero</v>
      </c>
      <c r="AT12" s="8" t="str">
        <f>VLOOKUP($Q$9,$Y$3:$KX$4,112,0)</f>
        <v>Espada Individual</v>
      </c>
      <c r="AU12" s="8" t="str">
        <f>VLOOKUP($Q$9,$Y$3:$KX$4,124,0)</f>
        <v>Defensa</v>
      </c>
      <c r="AV12" s="8" t="str">
        <f>VLOOKUP($Q$9,$Y$3:$KX$4,144,0)</f>
        <v>Golf</v>
      </c>
      <c r="AW12" s="8" t="str">
        <f>VLOOKUP($Q$9,$Y$3:$KX$4,134,0)</f>
        <v>General Individual</v>
      </c>
      <c r="AX12" s="8" t="str">
        <f>VLOOKUP($Q$9,$Y$3:$KX$4,142,0)</f>
        <v>Individual</v>
      </c>
      <c r="AY12" s="8" t="str">
        <f>VLOOKUP($Q$9,$Y$3:$KX$4,61,0)</f>
        <v>Balonmano</v>
      </c>
      <c r="AZ12" s="8" t="str">
        <f>VLOOKUP($Q$9,$Y$3:$KX$4,145,0)</f>
        <v>Hockey Césped</v>
      </c>
      <c r="BA12" s="8" t="str">
        <f>VLOOKUP($Q$9,$Y$3:$KX$4,146,0)</f>
        <v>M -60 Kg</v>
      </c>
      <c r="BB12" s="8" t="str">
        <f>VLOOKUP($Q$9,$Y$3:$KX$4,161,0)</f>
        <v>Kumite M -60 Kg</v>
      </c>
      <c r="BC12" s="8" t="str">
        <f>VLOOKUP($Q$9,$Y$3:$KX$4,211,0)</f>
        <v>Individual</v>
      </c>
      <c r="BD12" s="8" t="str">
        <f>VLOOKUP($Q$9,$Y$3:$KX$4,95,0)</f>
        <v>Cross-Country</v>
      </c>
      <c r="BE12" s="8" t="str">
        <f>VLOOKUP($Q$9,$Y$3:$KX$4,29,0)</f>
        <v>Aguas Abiertas</v>
      </c>
      <c r="BF12" s="8" t="str">
        <f>VLOOKUP($Q$9,$Y$3:$KX$4,207,0)</f>
        <v>Pelota goma – Dobles Trinquete</v>
      </c>
      <c r="BG12" s="8" t="str">
        <f>VLOOKUP($Q$9,$Y$3:$KX$4,218,0)</f>
        <v>M1x</v>
      </c>
      <c r="BH12" s="8" t="str">
        <f>VLOOKUP($Q$9,$Y$3:$KX$4,214,0)</f>
        <v>Individual</v>
      </c>
      <c r="BI12" s="8" t="str">
        <f>VLOOKUP($Q$9,$Y$3:$KX$4,231,0)</f>
        <v>Rugby 7</v>
      </c>
      <c r="BJ12" s="8" t="str">
        <f>VLOOKUP($Q$9,$Y$3:$KX$4,275,0)</f>
        <v>Tabla A Vela (Iqfoil)</v>
      </c>
      <c r="BK12" s="8" t="str">
        <f>VLOOKUP($Q$9,$Y$3:$KX$4,63,0)</f>
        <v>Sóftbol</v>
      </c>
      <c r="BL12" s="8" t="str">
        <f>VLOOKUP($Q$9,$Y$3:$KX$4,263,0)</f>
        <v>Rifle 50m 3 Posiciones</v>
      </c>
      <c r="BM12" s="8" t="str">
        <f>VLOOKUP($Q$9,$Y$3:$KX$4,205,0)</f>
        <v>Street</v>
      </c>
      <c r="BN12" s="8" t="str">
        <f>VLOOKUP($Q$9,$Y$3:$KX$4,232,0)</f>
        <v>Individual</v>
      </c>
      <c r="BO12" s="8" t="str">
        <f>VLOOKUP($Q$9,$Y$3:$KX$4,236,0)</f>
        <v>Shortboard</v>
      </c>
      <c r="BP12" s="8" t="str">
        <f>VLOOKUP($Q$9,$Y$3:$KX$4,201,0)</f>
        <v>200m Meta Contra Meta</v>
      </c>
      <c r="BQ12" s="8" t="str">
        <f>VLOOKUP($Q$9,$Y$3:$KX$4,27,0)</f>
        <v>Duetos</v>
      </c>
      <c r="BR12" s="8" t="str">
        <f>VLOOKUP($Q$9,$Y$3:$KX$4,7,0)</f>
        <v>50m libre</v>
      </c>
      <c r="BS12" s="8" t="str">
        <f>VLOOKUP($Q$9,$Y$3:$KX$4,250,0)</f>
        <v>Individual</v>
      </c>
      <c r="BT12" s="8" t="str">
        <f>VLOOKUP($Q$9,$Y$3:$KX$4,240,0)</f>
        <v>M Kyorugi -58 Kg</v>
      </c>
      <c r="BU12" s="8" t="str">
        <f>VLOOKUP($Q$9,$Y$3:$KX$4,273,0)</f>
        <v>Individual</v>
      </c>
      <c r="BV12" s="8" t="str">
        <f>VLOOKUP($Q$9,$Y$3:$KX$4,253,0)</f>
        <v>Individual</v>
      </c>
      <c r="BW12" s="8" t="str">
        <f>VLOOKUP($Q$9,$Y$3:$KX$4,286,0)</f>
        <v>Vóleibol Playa</v>
      </c>
      <c r="BX12" s="8" t="str">
        <f>VLOOKUP($Q$9,$Y$3:$KX$4,285,0)</f>
        <v>Vóleibol</v>
      </c>
      <c r="BY12" s="8" t="str">
        <f>VLOOKUP($Q$9,$Y$3:$KX$4,172,0)</f>
        <v>M 61 Kg</v>
      </c>
      <c r="BZ12" s="8" t="str">
        <f>VLOOKUP($Q$9,$Y$3:$KX$4,28,0)</f>
        <v>Polo Acuático</v>
      </c>
      <c r="CA12" s="8" t="str">
        <f>VLOOKUP($Q$9,$Y$3:$KX$4,182,0)</f>
        <v>Grecoromana 60 Kg</v>
      </c>
      <c r="CB12" s="8" t="str">
        <f>VLOOKUP($Q$9,$Y$3:$KX$4,118,0)</f>
        <v>Figuras</v>
      </c>
      <c r="CC12" s="8" t="str">
        <f>VLOOKUP($Q$9,$Y$3:$KZ$4,287,0)</f>
        <v>Masculino</v>
      </c>
      <c r="CD12" s="8" t="str">
        <f>VLOOKUP($Q$9,$Y$3:$LJ$4,289,0)</f>
        <v>Atleta</v>
      </c>
    </row>
    <row r="13" ht="13.5" customHeight="1">
      <c r="A13" s="8"/>
      <c r="B13" s="28">
        <v>3.0</v>
      </c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5"/>
      <c r="S13" s="5"/>
      <c r="T13" s="5"/>
      <c r="U13" s="8"/>
      <c r="V13" s="8"/>
      <c r="W13" s="8"/>
      <c r="X13" s="8"/>
      <c r="Y13" s="12"/>
      <c r="Z13" s="8" t="str">
        <f>VLOOKUP($Q$9,$Y$3:$KX$4,258,0)</f>
        <v>Individual Compuesto</v>
      </c>
      <c r="AB13" s="8" t="str">
        <f>VLOOKUP($Q$9,$Y$3:$KX$4,31,0)</f>
        <v>200m</v>
      </c>
      <c r="AD13" s="8" t="str">
        <f>VLOOKUP($Q$9,$Y$3:$KX$4,57,0)</f>
        <v>Dobles</v>
      </c>
      <c r="AJ13" s="8" t="str">
        <f>VLOOKUP($Q$9,$Y$3:$KX$4,67,0)</f>
        <v>M 57 Kg</v>
      </c>
      <c r="AK13" s="8" t="str">
        <f>VLOOKUP($Q$9,$Y$3:$KX$4,65,0)</f>
        <v>Dobles</v>
      </c>
      <c r="AL13" s="8" t="str">
        <f>VLOOKUP($Q$9,$Y$3:$KX$4,111,0)</f>
        <v>Boulder &amp; Lead</v>
      </c>
      <c r="AM13" s="8" t="str">
        <f>VLOOKUP($Q$9,$Y$3:$KX$4,97,0)</f>
        <v>Gran Fondo</v>
      </c>
      <c r="AN13" s="8" t="str">
        <f>VLOOKUP($Q$9,$Y$3:$KX$4,91,0)</f>
        <v>C1</v>
      </c>
      <c r="AO13" s="8" t="str">
        <f>VLOOKUP($Q$9,$Y$3:$KX$4,81,0)</f>
        <v>MK2 500m</v>
      </c>
      <c r="AP13" s="8" t="str">
        <f>VLOOKUP($Q$9,$Y$3:$KX$4,99,0)</f>
        <v>Keirin</v>
      </c>
      <c r="AQ13" s="8" t="str">
        <f>VLOOKUP($Q$9,$Y$3:$KX$4,3,0)</f>
        <v>Individual 3m Trampolín</v>
      </c>
      <c r="AR13" s="8" t="str">
        <f>VLOOKUP($Q$9,$Y$3:$KX$4,105,0)</f>
        <v>Adiestramiento Equipos</v>
      </c>
      <c r="AS13" s="8" t="str">
        <f>VLOOKUP($Q$9,$Y$3:$KX$4,124,0)</f>
        <v>Defensa</v>
      </c>
      <c r="AT13" s="8" t="str">
        <f>VLOOKUP($Q$9,$Y$3:$KX$4,113,0)</f>
        <v>Florete Individual</v>
      </c>
      <c r="AU13" s="8" t="str">
        <f>VLOOKUP($Q$9,$Y$3:$KX$4,125,0)</f>
        <v>Centrocampista</v>
      </c>
      <c r="AW13" s="8" t="str">
        <f>VLOOKUP($Q$9,$Y$3:$KX$4,135,0)</f>
        <v>Aro</v>
      </c>
      <c r="AX13" s="8" t="str">
        <f>VLOOKUP($Q$9,$Y$3:$KX$4,143,0)</f>
        <v>Sincronizados</v>
      </c>
      <c r="BA13" s="8" t="str">
        <f>VLOOKUP($Q$9,$Y$3:$KX$4,147,0)</f>
        <v>M -66 Kg</v>
      </c>
      <c r="BB13" s="8" t="str">
        <f>VLOOKUP($Q$9,$Y$3:$KX$4,162,0)</f>
        <v>Kumite M -67 Kg</v>
      </c>
      <c r="BC13" s="8" t="str">
        <f>VLOOKUP($Q$9,$Y$3:$KX$4,212,0)</f>
        <v>Relevos</v>
      </c>
      <c r="BF13" s="8" t="str">
        <f>VLOOKUP($Q$9,$Y$3:$KX$4,208,0)</f>
        <v>Pelota goma – Individual (Frontón)</v>
      </c>
      <c r="BG13" s="8" t="str">
        <f>VLOOKUP($Q$9,$Y$3:$KX$4,219,0)</f>
        <v>M2x</v>
      </c>
      <c r="BH13" s="8" t="str">
        <f>VLOOKUP($Q$9,$Y$3:$KX$4,215,0)</f>
        <v>Dobles</v>
      </c>
      <c r="BJ13" s="8" t="str">
        <f>VLOOKUP($Q$9,$Y$3:$KX$4,276,0)</f>
        <v>Bote (Ilca 7)</v>
      </c>
      <c r="BL13" s="8" t="str">
        <f>VLOOKUP($Q$9,$Y$3:$KX$4,264,0)</f>
        <v>10m Rifle De Aire</v>
      </c>
      <c r="BM13" s="8" t="str">
        <f>VLOOKUP($Q$9,$Y$3:$KX$4,206,0)</f>
        <v>Park</v>
      </c>
      <c r="BN13" s="8" t="str">
        <f>VLOOKUP($Q$9,$Y$3:$KX$4,233,0)</f>
        <v>Equipos</v>
      </c>
      <c r="BO13" s="8" t="str">
        <f>VLOOKUP($Q$9,$Y$3:$KX$4,237,0)</f>
        <v>Sup Surf</v>
      </c>
      <c r="BP13" s="8" t="str">
        <f>VLOOKUP($Q$9,$Y$3:$KX$4,202,0)</f>
        <v>500m + Distancia</v>
      </c>
      <c r="BQ13" s="8" t="str">
        <f>VLOOKUP($Q$9,$Y$3:$KX$4,26,0)</f>
        <v>Equipos</v>
      </c>
      <c r="BR13" s="8" t="str">
        <f>VLOOKUP($Q$9,$Y$3:$KX$4,8,0)</f>
        <v>100m libre</v>
      </c>
      <c r="BS13" s="8" t="str">
        <f>VLOOKUP($Q$9,$Y$3:$KX$4,251,0)</f>
        <v>Dobles</v>
      </c>
      <c r="BT13" s="8" t="str">
        <f>VLOOKUP($Q$9,$Y$3:$KX$4,241,0)</f>
        <v>M Kyorugi -68 Kg</v>
      </c>
      <c r="BU13" s="8" t="str">
        <f>VLOOKUP($Q$9,$Y$3:$KX$4,274,0)</f>
        <v>Relevos Mixtos</v>
      </c>
      <c r="BV13" s="8" t="str">
        <f>VLOOKUP($Q$9,$Y$3:$KX$4,254,0)</f>
        <v>Equipos</v>
      </c>
      <c r="BY13" s="8" t="str">
        <f>VLOOKUP($Q$9,$Y$3:$KX$4,173,0)</f>
        <v>M 73 Kg</v>
      </c>
      <c r="CA13" s="8" t="str">
        <f>VLOOKUP($Q$9,$Y$3:$KX$4,183,0)</f>
        <v>Grecoromana 67 Kg</v>
      </c>
      <c r="CB13" s="8" t="str">
        <f>VLOOKUP($Q$9,$Y$3:$KX$4,119,0)</f>
        <v>Slalom</v>
      </c>
      <c r="CC13" s="8" t="str">
        <f>VLOOKUP($Q$9,$Y$3:$KZ$4,288,0)</f>
        <v>Femenino</v>
      </c>
      <c r="CD13" s="8" t="str">
        <f>VLOOKUP($Q$9,$Y$3:$LJ$4,290,0)</f>
        <v>Entrenador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"/>
      <c r="S14" s="5"/>
      <c r="T14" s="5"/>
      <c r="U14" s="8"/>
      <c r="V14" s="8"/>
      <c r="W14" s="8"/>
      <c r="X14" s="8"/>
      <c r="Y14" s="12"/>
      <c r="Z14" s="8" t="str">
        <f>VLOOKUP($Q$9,$Y$3:$KX$4,259,0)</f>
        <v>Equipo Recurvo</v>
      </c>
      <c r="AB14" s="8" t="str">
        <f>VLOOKUP($Q$9,$Y$3:$KX$4,32,0)</f>
        <v>400m</v>
      </c>
      <c r="AD14" s="8" t="str">
        <f>VLOOKUP($Q$9,$Y$3:$KX$4,58,0)</f>
        <v>Dobles Mixto</v>
      </c>
      <c r="AJ14" s="8" t="str">
        <f>VLOOKUP($Q$9,$Y$3:$KX$4,68,0)</f>
        <v>M 63.5 Kg</v>
      </c>
      <c r="AK14" s="8"/>
      <c r="AN14" s="8" t="str">
        <f>VLOOKUP($Q$9,$Y$3:$KX$4,92,0)</f>
        <v>K1 Extreme</v>
      </c>
      <c r="AO14" s="8" t="str">
        <f>VLOOKUP($Q$9,$Y$3:$KX$4,82,0)</f>
        <v>MK4 500m</v>
      </c>
      <c r="AP14" s="8" t="str">
        <f>VLOOKUP($Q$9,$Y$3:$KX$4,100,0)</f>
        <v>Omnium</v>
      </c>
      <c r="AQ14" s="8" t="str">
        <f>VLOOKUP($Q$9,$Y$3:$KX$4,4,0)</f>
        <v>Individual 10m Plataforma</v>
      </c>
      <c r="AR14" s="8" t="str">
        <f>VLOOKUP($Q$9,$Y$3:$KX$4,106,0)</f>
        <v>Evento Completo Individual</v>
      </c>
      <c r="AS14" s="8" t="str">
        <f>VLOOKUP($Q$9,$Y$3:$KX$4,125,0)</f>
        <v>Centrocampista</v>
      </c>
      <c r="AT14" s="8" t="str">
        <f>VLOOKUP($Q$9,$Y$3:$KX$4,114,0)</f>
        <v>Sable Individual</v>
      </c>
      <c r="AU14" s="8" t="str">
        <f>VLOOKUP($Q$9,$Y$3:$KX$4,126,0)</f>
        <v>Delantero</v>
      </c>
      <c r="AW14" s="8" t="str">
        <f>VLOOKUP($Q$9,$Y$3:$KX$4,136,0)</f>
        <v>Pelota</v>
      </c>
      <c r="BA14" s="8" t="str">
        <f>VLOOKUP($Q$9,$Y$3:$KX$4,148,0)</f>
        <v>M -73 Kg</v>
      </c>
      <c r="BB14" s="8" t="str">
        <f>VLOOKUP($Q$9,$Y$3:$KX$4,163,0)</f>
        <v>Kumite M -75 Kg</v>
      </c>
      <c r="BC14" s="8" t="str">
        <f>VLOOKUP($Q$9,$Y$3:$KX$4,213,0)</f>
        <v>Relevos Mixtos</v>
      </c>
      <c r="BF14" s="8" t="str">
        <f>VLOOKUP($Q$9,$Y$3:$KX$4,209,0)</f>
        <v>Frontenis -Dobles (Frontón)</v>
      </c>
      <c r="BG14" s="8" t="str">
        <f>VLOOKUP($Q$9,$Y$3:$KX$4,220,0)</f>
        <v>M4x</v>
      </c>
      <c r="BH14" s="8" t="str">
        <f>VLOOKUP($Q$9,$Y$3:$KX$4,216,0)</f>
        <v>Equipos</v>
      </c>
      <c r="BJ14" s="8" t="str">
        <f>VLOOKUP($Q$9,$Y$3:$KX$4,277,0)</f>
        <v>Bote (Ilca 6)</v>
      </c>
      <c r="BL14" s="8" t="str">
        <f>VLOOKUP($Q$9,$Y$3:$KX$4,265,0)</f>
        <v>10m Pistola De Aire</v>
      </c>
      <c r="BN14" s="8" t="str">
        <f>VLOOKUP($Q$9,$Y$3:$KX$4,234,0)</f>
        <v>Dobles</v>
      </c>
      <c r="BO14" s="8" t="str">
        <f>VLOOKUP($Q$9,$Y$3:$KX$4,238,0)</f>
        <v>Sup Race</v>
      </c>
      <c r="BP14" s="8" t="str">
        <f>VLOOKUP($Q$9,$Y$3:$KX$4,203,0)</f>
        <v>10000m Eliminación</v>
      </c>
      <c r="BR14" s="8" t="str">
        <f>VLOOKUP($Q$9,$Y$3:$KX$4,9,0)</f>
        <v>200m libre</v>
      </c>
      <c r="BS14" s="8" t="str">
        <f>VLOOKUP($Q$9,$Y$3:$KX$4,252,0)</f>
        <v>Dobles Mixtos</v>
      </c>
      <c r="BT14" s="8" t="str">
        <f>VLOOKUP($Q$9,$Y$3:$KX$4,242,0)</f>
        <v>M Kyorugi -80 Kg</v>
      </c>
      <c r="BV14" s="8" t="str">
        <f>VLOOKUP($Q$9,$Y$3:$KX$4,255,0)</f>
        <v>Dobles</v>
      </c>
      <c r="BY14" s="8" t="str">
        <f>VLOOKUP($Q$9,$Y$3:$KX$4,174,0)</f>
        <v>M 89 Kg</v>
      </c>
      <c r="CA14" s="8" t="str">
        <f>VLOOKUP($Q$9,$Y$3:$KX$4,184,0)</f>
        <v>Grecoromana 77 Kg</v>
      </c>
      <c r="CB14" s="8" t="str">
        <f>VLOOKUP($Q$9,$Y$3:$KX$4,120,0)</f>
        <v>Salto</v>
      </c>
      <c r="CD14" s="8" t="str">
        <f>VLOOKUP($Q$9,$Y$3:$LJ$4,291,0)</f>
        <v>Asistente Técnico</v>
      </c>
    </row>
    <row r="15" ht="13.5" customHeight="1">
      <c r="A15" s="8"/>
      <c r="B15" s="28">
        <v>5.0</v>
      </c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5"/>
      <c r="S15" s="5"/>
      <c r="T15" s="5"/>
      <c r="U15" s="8"/>
      <c r="V15" s="8"/>
      <c r="W15" s="8"/>
      <c r="X15" s="8"/>
      <c r="Y15" s="12"/>
      <c r="Z15" s="8" t="str">
        <f>VLOOKUP($Q$9,$Y$3:$KX$4,260,0)</f>
        <v>Equipo Compuesto</v>
      </c>
      <c r="AB15" s="8" t="str">
        <f>VLOOKUP($Q$9,$Y$3:$KX$4,33,0)</f>
        <v>800m</v>
      </c>
      <c r="AD15" s="8"/>
      <c r="AJ15" s="8" t="str">
        <f>VLOOKUP($Q$9,$Y$3:$KX$4,69,0)</f>
        <v>M 71 Kg</v>
      </c>
      <c r="AN15" s="8"/>
      <c r="AO15" s="8" t="str">
        <f>VLOOKUP($Q$9,$Y$3:$KX$4,83,0)</f>
        <v>MC1 1,000m</v>
      </c>
      <c r="AP15" s="8" t="str">
        <f>VLOOKUP($Q$9,$Y$3:$KX$4,101,0)</f>
        <v>Velocidad Equipos</v>
      </c>
      <c r="AQ15" s="8" t="str">
        <f>VLOOKUP($Q$9,$Y$3:$KX$4,5,0)</f>
        <v>Sincronizados 3m Trampolín</v>
      </c>
      <c r="AR15" s="8" t="str">
        <f>VLOOKUP($Q$9,$Y$3:$KX$4,107,0)</f>
        <v>Evento Completo Equipos</v>
      </c>
      <c r="AS15" s="8" t="str">
        <f>VLOOKUP($Q$9,$Y$3:$KX$4,126,0)</f>
        <v>Delantero</v>
      </c>
      <c r="AT15" s="8" t="str">
        <f>VLOOKUP($Q$9,$Y$3:$KX$4,115,0)</f>
        <v>Espada Equipos</v>
      </c>
      <c r="AU15" s="8" t="str">
        <f>VLOOKUP($Q$9,$Y$3:$KX$4,127,0)</f>
        <v>Caballo Con Arzones</v>
      </c>
      <c r="AW15" s="8" t="str">
        <f>VLOOKUP($Q$9,$Y$3:$KX$4,137,0)</f>
        <v>Mazas</v>
      </c>
      <c r="BA15" s="8" t="str">
        <f>VLOOKUP($Q$9,$Y$3:$KX$4,149,0)</f>
        <v>M -81 Kg</v>
      </c>
      <c r="BB15" s="8" t="str">
        <f>VLOOKUP($Q$9,$Y$3:$KX$4,164,0)</f>
        <v>Kumite M -84 Kg</v>
      </c>
      <c r="BF15" s="8" t="str">
        <f>VLOOKUP($Q$9,$Y$3:$KX$4,210,0)</f>
        <v>Frontball</v>
      </c>
      <c r="BG15" s="8" t="str">
        <f>VLOOKUP($Q$9,$Y$3:$KX$4,221,0)</f>
        <v>M2-</v>
      </c>
      <c r="BH15" s="8" t="str">
        <f>VLOOKUP($Q$9,$Y$3:$KX$4,217,0)</f>
        <v>Dobles Mixtos</v>
      </c>
      <c r="BJ15" s="8" t="str">
        <f>VLOOKUP($Q$9,$Y$3:$KX$4,278,0)</f>
        <v>Bote (Sunfish)</v>
      </c>
      <c r="BL15" s="8" t="str">
        <f>VLOOKUP($Q$9,$Y$3:$KX$4,266,0)</f>
        <v>25m Pistola De Fuego Rapido</v>
      </c>
      <c r="BN15" s="8" t="str">
        <f>VLOOKUP($Q$9,$Y$3:$KX$4,235,0)</f>
        <v>Dobles Mixtos</v>
      </c>
      <c r="BO15" s="8" t="str">
        <f>VLOOKUP($Q$9,$Y$3:$KX$4,239,0)</f>
        <v>Longboard</v>
      </c>
      <c r="BP15" s="8" t="str">
        <f>VLOOKUP($Q$9,$Y$3:$KX$4,204,0)</f>
        <v>1000m Sprint</v>
      </c>
      <c r="BR15" s="8" t="str">
        <f>VLOOKUP($Q$9,$Y$3:$KX$4,10,0)</f>
        <v>400m libre</v>
      </c>
      <c r="BT15" s="8" t="str">
        <f>VLOOKUP($Q$9,$Y$3:$KX$4,243,0)</f>
        <v>M Kyorugi +80 Kg</v>
      </c>
      <c r="BV15" s="8" t="str">
        <f>VLOOKUP($Q$9,$Y$3:$KX$4,256,0)</f>
        <v>Dobles Mixtos</v>
      </c>
      <c r="BY15" s="8" t="str">
        <f>VLOOKUP($Q$9,$Y$3:$KX$4,175,0)</f>
        <v>M 102 Kg</v>
      </c>
      <c r="CA15" s="8" t="str">
        <f>VLOOKUP($Q$9,$Y$3:$KX$4,185,0)</f>
        <v>Grecoromana 87 Kg</v>
      </c>
      <c r="CB15" s="8" t="str">
        <f>VLOOKUP($Q$9,$Y$3:$KX$4,121,0)</f>
        <v>Overall</v>
      </c>
      <c r="CD15" s="8" t="str">
        <f>VLOOKUP($Q$9,$Y$3:$LJ$4,292,0)</f>
        <v>Preparador Físico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5"/>
      <c r="S16" s="5"/>
      <c r="T16" s="5"/>
      <c r="U16" s="8"/>
      <c r="V16" s="8"/>
      <c r="W16" s="8"/>
      <c r="X16" s="8"/>
      <c r="Y16" s="12"/>
      <c r="Z16" s="8" t="str">
        <f>VLOOKUP($Q$9,$Y$3:$KX$4,261,0)</f>
        <v>Equipo Recurvo Mixto</v>
      </c>
      <c r="AB16" s="8" t="str">
        <f>VLOOKUP($Q$9,$Y$3:$KX$4,34,0)</f>
        <v>1500m</v>
      </c>
      <c r="AJ16" s="8" t="str">
        <f>VLOOKUP($Q$9,$Y$3:$KX$4,70,0)</f>
        <v>M 80 Kg</v>
      </c>
      <c r="AN16" s="8"/>
      <c r="AO16" s="8" t="str">
        <f>VLOOKUP($Q$9,$Y$3:$KX$4,84,0)</f>
        <v>MC2 500m</v>
      </c>
      <c r="AP16" s="8" t="str">
        <f>VLOOKUP($Q$9,$Y$3:$KX$4,102,0)</f>
        <v>Persecución Equipos</v>
      </c>
      <c r="AQ16" s="8" t="str">
        <f>VLOOKUP($Q$9,$Y$3:$KX$4,6,0)</f>
        <v>Sincronizados 10m Plataforma</v>
      </c>
      <c r="AR16" s="8" t="str">
        <f>VLOOKUP($Q$9,$Y$3:$KX$4,108,0)</f>
        <v>Salto Individual</v>
      </c>
      <c r="AS16" s="8"/>
      <c r="AT16" s="8" t="str">
        <f>VLOOKUP($Q$9,$Y$3:$KX$4,116,0)</f>
        <v>Florete Equipos</v>
      </c>
      <c r="AU16" s="8" t="str">
        <f>VLOOKUP($Q$9,$Y$3:$KX$4,128,0)</f>
        <v>Anillas</v>
      </c>
      <c r="AW16" s="8" t="str">
        <f>VLOOKUP($Q$9,$Y$3:$KX$4,138,0)</f>
        <v>Cinta</v>
      </c>
      <c r="BA16" s="8" t="str">
        <f>VLOOKUP($Q$9,$Y$3:$KX$4,150,0)</f>
        <v>M -90 Kg</v>
      </c>
      <c r="BB16" s="8" t="str">
        <f>VLOOKUP($Q$9,$Y$3:$KX$4,165,0)</f>
        <v>Kumite M +84 Kg</v>
      </c>
      <c r="BG16" s="8" t="str">
        <f>VLOOKUP($Q$9,$Y$3:$KX$4,222,0)</f>
        <v>M4-</v>
      </c>
      <c r="BH16" s="8"/>
      <c r="BJ16" s="8" t="str">
        <f>VLOOKUP($Q$9,$Y$3:$KX$4,279,0)</f>
        <v>Skiff (49Er)</v>
      </c>
      <c r="BL16" s="8" t="str">
        <f>VLOOKUP($Q$9,$Y$3:$KX$4,267,0)</f>
        <v>25m Pistola Deportiva</v>
      </c>
      <c r="BO16" s="8"/>
      <c r="BR16" s="8" t="str">
        <f>VLOOKUP($Q$9,$Y$3:$KX$4,11,0)</f>
        <v>800m libre</v>
      </c>
      <c r="BT16" s="8" t="str">
        <f>VLOOKUP($Q$9,$Y$3:$KX$4,244,0)</f>
        <v>F Kyorugi -49 Kg</v>
      </c>
      <c r="BY16" s="8" t="str">
        <f>VLOOKUP($Q$9,$Y$3:$KX$4,176,0)</f>
        <v>M +102 Kg</v>
      </c>
      <c r="CA16" s="8" t="str">
        <f>VLOOKUP($Q$9,$Y$3:$KX$4,186,0)</f>
        <v>Grecoromana 97 Kg</v>
      </c>
      <c r="CB16" s="8" t="str">
        <f>VLOOKUP($Q$9,$Y$3:$KX$4,122,0)</f>
        <v>Wakeboard</v>
      </c>
      <c r="CD16" s="8" t="str">
        <f>VLOOKUP($Q$9,$Y$3:$LJ$4,293,0)</f>
        <v>Entrenador de Porteros</v>
      </c>
    </row>
    <row r="17" ht="13.5" customHeight="1">
      <c r="A17" s="8"/>
      <c r="B17" s="28">
        <v>7.0</v>
      </c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5"/>
      <c r="S17" s="5"/>
      <c r="T17" s="5"/>
      <c r="U17" s="8"/>
      <c r="V17" s="8"/>
      <c r="W17" s="8"/>
      <c r="X17" s="8"/>
      <c r="Y17" s="12"/>
      <c r="Z17" s="8" t="str">
        <f>VLOOKUP($Q$9,$Y$3:$KX$4,262,0)</f>
        <v>Equipo Compuesto Mixto</v>
      </c>
      <c r="AB17" s="8" t="str">
        <f>VLOOKUP($Q$9,$Y$3:$KX$4,3,0)</f>
        <v>Individual 3m Trampolín</v>
      </c>
      <c r="AJ17" s="8" t="str">
        <f>VLOOKUP($Q$9,$Y$3:$KX$4,71,0)</f>
        <v>M 92 Kg</v>
      </c>
      <c r="AO17" s="8" t="str">
        <f>VLOOKUP($Q$9,$Y$3:$KX$4,85,0)</f>
        <v>WK1 500m</v>
      </c>
      <c r="AP17" s="8" t="str">
        <f>VLOOKUP($Q$9,$Y$3:$KX$4,103,0)</f>
        <v>Madison</v>
      </c>
      <c r="AR17" s="8" t="str">
        <f>VLOOKUP($Q$9,$Y$3:$KX$4,109,0)</f>
        <v>Salto Equipos</v>
      </c>
      <c r="AS17" s="8"/>
      <c r="AT17" s="8" t="str">
        <f>VLOOKUP($Q$9,$Y$3:$KX$4,117,0)</f>
        <v>Sable Equipos</v>
      </c>
      <c r="AU17" s="8" t="str">
        <f>VLOOKUP($Q$9,$Y$3:$KX$4,129,0)</f>
        <v>Salto</v>
      </c>
      <c r="AW17" s="8" t="str">
        <f>VLOOKUP($Q$9,$Y$3:$KX$4,139,0)</f>
        <v>General De Conjuntos</v>
      </c>
      <c r="BA17" s="8" t="str">
        <f>VLOOKUP($Q$9,$Y$3:$KX$4,151,0)</f>
        <v>M -100 Kg</v>
      </c>
      <c r="BB17" s="8" t="str">
        <f>VLOOKUP($Q$9,$Y$3:$KX$4,166,0)</f>
        <v>Kumite F -50 Kg</v>
      </c>
      <c r="BG17" s="8" t="str">
        <f>VLOOKUP($Q$9,$Y$3:$KX$4,223,0)</f>
        <v>LM2x</v>
      </c>
      <c r="BJ17" s="8" t="str">
        <f>VLOOKUP($Q$9,$Y$3:$KX$4,280,0)</f>
        <v>Skiff (49Er Fx)</v>
      </c>
      <c r="BL17" s="8" t="str">
        <f>VLOOKUP($Q$9,$Y$3:$KX$4,268,0)</f>
        <v>Skeet</v>
      </c>
      <c r="BR17" s="8" t="str">
        <f>VLOOKUP($Q$9,$Y$3:$KX$4,12,0)</f>
        <v>1.500m libre</v>
      </c>
      <c r="BT17" s="8" t="str">
        <f>VLOOKUP($Q$9,$Y$3:$KX$4,245,0)</f>
        <v>F Kyorugi -57 Kg</v>
      </c>
      <c r="BY17" s="8" t="str">
        <f>VLOOKUP($Q$9,$Y$3:$KX$4,177,0)</f>
        <v>F 49 Kg</v>
      </c>
      <c r="CA17" s="8" t="str">
        <f>VLOOKUP($Q$9,$Y$3:$KX$4,187,0)</f>
        <v>Grecoromana 130 Kg</v>
      </c>
      <c r="CD17" s="8" t="str">
        <f>VLOOKUP($Q$9,$Y$3:$LJ$4,294,0)</f>
        <v>Nutricionista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5"/>
      <c r="S18" s="5"/>
      <c r="T18" s="5"/>
      <c r="U18" s="8"/>
      <c r="V18" s="8"/>
      <c r="W18" s="8"/>
      <c r="X18" s="8"/>
      <c r="Y18" s="12"/>
      <c r="Z18" s="8"/>
      <c r="AB18" s="8" t="str">
        <f>VLOOKUP($Q$9,$Y$3:$KX$4,35,0)</f>
        <v>5000m</v>
      </c>
      <c r="AJ18" s="8" t="str">
        <f>VLOOKUP($Q$9,$Y$3:$KX$4,72,0)</f>
        <v>M +92 Kg</v>
      </c>
      <c r="AO18" s="8" t="str">
        <f>VLOOKUP($Q$9,$Y$3:$KX$4,86,0)</f>
        <v>WK2 500m</v>
      </c>
      <c r="AS18" s="8"/>
      <c r="AU18" s="8" t="str">
        <f>VLOOKUP($Q$9,$Y$3:$KX$4,130,0)</f>
        <v>Barras Paralelas</v>
      </c>
      <c r="AW18" s="8" t="str">
        <f>VLOOKUP($Q$9,$Y$3:$KX$4,140,0)</f>
        <v>5 Aros</v>
      </c>
      <c r="BA18" s="8" t="str">
        <f>VLOOKUP($Q$9,$Y$3:$KX$4,152,0)</f>
        <v>M +100 Kg</v>
      </c>
      <c r="BB18" s="8" t="str">
        <f>VLOOKUP($Q$9,$Y$3:$KX$4,167,0)</f>
        <v>Kumite F -55 Kg</v>
      </c>
      <c r="BG18" s="8" t="str">
        <f>VLOOKUP($Q$9,$Y$3:$KX$4,224,0)</f>
        <v>W1x</v>
      </c>
      <c r="BJ18" s="8" t="str">
        <f>VLOOKUP($Q$9,$Y$3:$KX$4,281,0)</f>
        <v>Kite (Fomula Kite)</v>
      </c>
      <c r="BL18" s="8" t="str">
        <f>VLOOKUP($Q$9,$Y$3:$KX$4,269,0)</f>
        <v>Trap</v>
      </c>
      <c r="BR18" s="8" t="str">
        <f>VLOOKUP($Q$9,$Y$3:$KX$4,13,0)</f>
        <v>100m espalda</v>
      </c>
      <c r="BT18" s="8" t="str">
        <f>VLOOKUP($Q$9,$Y$3:$KX$4,246,0)</f>
        <v>F Kyorugi -67 Kg</v>
      </c>
      <c r="BY18" s="8" t="str">
        <f>VLOOKUP($Q$9,$Y$3:$KX$4,178,0)</f>
        <v>F 59 Kg</v>
      </c>
      <c r="CA18" s="8" t="str">
        <f>VLOOKUP($Q$9,$Y$3:$KX$4,188,0)</f>
        <v>Libre M 57 Kg</v>
      </c>
      <c r="CD18" s="8" t="str">
        <f>VLOOKUP($Q$9,$Y$3:$LJ$4,295,0)</f>
        <v>Médico</v>
      </c>
    </row>
    <row r="19" ht="13.5" customHeight="1">
      <c r="A19" s="8"/>
      <c r="B19" s="28">
        <v>9.0</v>
      </c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5"/>
      <c r="S19" s="5"/>
      <c r="T19" s="5"/>
      <c r="U19" s="8"/>
      <c r="V19" s="8"/>
      <c r="W19" s="8"/>
      <c r="X19" s="8"/>
      <c r="Y19" s="12"/>
      <c r="Z19" s="8"/>
      <c r="AB19" s="8" t="str">
        <f>VLOOKUP($Q$9,$Y$3:$KX$4,36,0)</f>
        <v>10000m</v>
      </c>
      <c r="AJ19" s="8" t="str">
        <f>VLOOKUP($Q$9,$Y$3:$KX$4,73,0)</f>
        <v>F 50 Kg</v>
      </c>
      <c r="AO19" s="8" t="str">
        <f>VLOOKUP($Q$9,$Y$3:$KX$4,87,0)</f>
        <v>WK4 500M</v>
      </c>
      <c r="AU19" s="8" t="str">
        <f>VLOOKUP($Q$9,$Y$3:$KX$4,131,0)</f>
        <v>Barra Fija</v>
      </c>
      <c r="AW19" s="8" t="str">
        <f>VLOOKUP($Q$9,$Y$3:$KX$4,141,0)</f>
        <v>3 Cintas/2 Pelotas</v>
      </c>
      <c r="BA19" s="8" t="str">
        <f>VLOOKUP($Q$9,$Y$3:$KX$4,153,0)</f>
        <v>F -48 Kg</v>
      </c>
      <c r="BB19" s="8" t="str">
        <f>VLOOKUP($Q$9,$Y$3:$KX$4,168,0)</f>
        <v>Kumite F -61 Kg</v>
      </c>
      <c r="BG19" s="8" t="str">
        <f>VLOOKUP($Q$9,$Y$3:$KX$4,225,0)</f>
        <v>W2x</v>
      </c>
      <c r="BJ19" s="8" t="str">
        <f>VLOOKUP($Q$9,$Y$3:$KX$4,282,0)</f>
        <v>Mixto Catamarán (Nacra 17)</v>
      </c>
      <c r="BL19" s="8" t="str">
        <f>VLOOKUP($Q$9,$Y$3:$KX$4,270,0)</f>
        <v>Mixto 10m Rifle De Aire</v>
      </c>
      <c r="BR19" s="8" t="str">
        <f>VLOOKUP($Q$9,$Y$3:$KX$4,14,0)</f>
        <v>200m espalda</v>
      </c>
      <c r="BT19" s="8" t="str">
        <f>VLOOKUP($Q$9,$Y$3:$KX$4,247,0)</f>
        <v>F Kyorugi +67 Kg</v>
      </c>
      <c r="BY19" s="8" t="str">
        <f>VLOOKUP($Q$9,$Y$3:$KX$4,179,0)</f>
        <v>F 71 Kg</v>
      </c>
      <c r="CA19" s="8" t="str">
        <f>VLOOKUP($Q$9,$Y$3:$KX$4,189,0)</f>
        <v>Libre M 65 Kg</v>
      </c>
      <c r="CD19" s="8" t="str">
        <f>VLOOKUP($Q$9,$Y$3:$LJ$4,296,0)</f>
        <v>Fisioterapeuta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5"/>
      <c r="S20" s="5"/>
      <c r="T20" s="5"/>
      <c r="U20" s="8"/>
      <c r="V20" s="8"/>
      <c r="W20" s="8"/>
      <c r="X20" s="8"/>
      <c r="Y20" s="12"/>
      <c r="Z20" s="8"/>
      <c r="AB20" s="8" t="str">
        <f>VLOOKUP($Q$9,$Y$3:$KX$4,37,0)</f>
        <v>110 / 100 vallas</v>
      </c>
      <c r="AJ20" s="8" t="str">
        <f>VLOOKUP($Q$9,$Y$3:$KX$4,74,0)</f>
        <v>F 54 Kg</v>
      </c>
      <c r="AO20" s="8" t="str">
        <f>VLOOKUP($Q$9,$Y$3:$KX$4,88,0)</f>
        <v>WC1 200m</v>
      </c>
      <c r="AU20" s="8" t="str">
        <f>VLOOKUP($Q$9,$Y$3:$KX$4,132,0)</f>
        <v>Barras Asimétricas</v>
      </c>
      <c r="BA20" s="8" t="str">
        <f>VLOOKUP($Q$9,$Y$3:$KX$4,154,0)</f>
        <v>F -52 Kg</v>
      </c>
      <c r="BB20" s="8" t="str">
        <f>VLOOKUP($Q$9,$Y$3:$KX$4,169,0)</f>
        <v>Kumite F -68 Kg </v>
      </c>
      <c r="BG20" s="8" t="str">
        <f>VLOOKUP($Q$9,$Y$3:$KX$4,226,0)</f>
        <v>W4x</v>
      </c>
      <c r="BJ20" s="8" t="str">
        <f>VLOOKUP($Q$9,$Y$3:$KX$4,283,0)</f>
        <v>Mixto Bote (Snipe)</v>
      </c>
      <c r="BL20" s="8" t="str">
        <f>VLOOKUP($Q$9,$Y$3:$KX$4,271,0)</f>
        <v>Mixto 10m Pistola De Aire</v>
      </c>
      <c r="BR20" s="8" t="str">
        <f>VLOOKUP($Q$9,$Y$3:$KX$4,15,0)</f>
        <v>100m pecho</v>
      </c>
      <c r="BT20" s="8" t="str">
        <f>VLOOKUP($Q$9,$Y$3:$KX$4,248,0)</f>
        <v>Poomsae Tradicional Individual</v>
      </c>
      <c r="BY20" s="8" t="str">
        <f>VLOOKUP($Q$9,$Y$3:$KX$4,180,0)</f>
        <v>F 81 Kg</v>
      </c>
      <c r="CA20" s="8" t="str">
        <f>VLOOKUP($Q$9,$Y$3:$KX$4,190,0)</f>
        <v>Libre M 74 Kg</v>
      </c>
      <c r="CD20" s="8" t="str">
        <f>VLOOKUP($Q$9,$Y$3:$LJ$4,297,0)</f>
        <v>Psicologo</v>
      </c>
    </row>
    <row r="21" ht="17.25" customHeight="1">
      <c r="A21" s="22"/>
      <c r="B21" s="28">
        <v>11.0</v>
      </c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5"/>
      <c r="S21" s="5"/>
      <c r="T21" s="5"/>
      <c r="U21" s="22"/>
      <c r="V21" s="22"/>
      <c r="W21" s="22"/>
      <c r="X21" s="22"/>
      <c r="Y21" s="12"/>
      <c r="Z21" s="8"/>
      <c r="AB21" s="8" t="str">
        <f>VLOOKUP($Q$9,$Y$3:$KX$4,38,0)</f>
        <v>400 Vallas</v>
      </c>
      <c r="AJ21" s="8" t="str">
        <f>VLOOKUP($Q$9,$Y$3:$KX$4,75,0)</f>
        <v>F 57 Kg</v>
      </c>
      <c r="AO21" s="8" t="str">
        <f>VLOOKUP($Q$9,$Y$3:$KX$4,89,0)</f>
        <v>WC2 500m</v>
      </c>
      <c r="AU21" s="8" t="str">
        <f>VLOOKUP($Q$9,$Y$3:$KX$4,133,0)</f>
        <v>Viga De Equilibrio</v>
      </c>
      <c r="BA21" s="8" t="str">
        <f>VLOOKUP($Q$9,$Y$3:$KX$4,155,0)</f>
        <v>F -57 Kg</v>
      </c>
      <c r="BB21" s="8" t="str">
        <f>VLOOKUP($Q$9,$Y$3:$KX$4,170,0)</f>
        <v>Kumite F +68 Kg</v>
      </c>
      <c r="BG21" s="8" t="str">
        <f>VLOOKUP($Q$9,$Y$3:$KX$4,227,0)</f>
        <v>W2-</v>
      </c>
      <c r="BJ21" s="8" t="str">
        <f>VLOOKUP($Q$9,$Y$3:$KX$4,284,0)</f>
        <v>Mixto Bote (Lightning)</v>
      </c>
      <c r="BL21" s="8" t="str">
        <f>VLOOKUP($Q$9,$Y$3:$KX$4,272,0)</f>
        <v>Mixto Skeet</v>
      </c>
      <c r="BR21" s="8" t="str">
        <f>VLOOKUP($Q$9,$Y$3:$KX$4,16,0)</f>
        <v>200m pecho</v>
      </c>
      <c r="BT21" s="8" t="str">
        <f>VLOOKUP($Q$9,$Y$3:$KX$4,249,0)</f>
        <v>Poomsae Parejas Libres</v>
      </c>
      <c r="BY21" s="8" t="str">
        <f>VLOOKUP($Q$9,$Y$3:$KX$4,181,0)</f>
        <v>F +81 Kg</v>
      </c>
      <c r="CA21" s="8" t="str">
        <f>VLOOKUP($Q$9,$Y$3:$KX$4,191,0)</f>
        <v>Libre M 86 Kg</v>
      </c>
      <c r="CD21" s="8" t="str">
        <f>VLOOKUP($Q$9,$Y$3:$LJ$4,298,0)</f>
        <v>Analista</v>
      </c>
    </row>
    <row r="22" ht="16.5" customHeight="1">
      <c r="A22" s="22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5"/>
      <c r="S22" s="5"/>
      <c r="T22" s="5"/>
      <c r="U22" s="22"/>
      <c r="V22" s="22"/>
      <c r="W22" s="22"/>
      <c r="X22" s="22"/>
      <c r="Y22" s="12"/>
      <c r="Z22" s="8"/>
      <c r="AB22" s="8" t="str">
        <f>VLOOKUP($Q$9,$Y$3:$KX$4,39,0)</f>
        <v>3000 con obstáculos</v>
      </c>
      <c r="AJ22" s="8" t="str">
        <f>VLOOKUP($Q$9,$Y$3:$KX$4,76,0)</f>
        <v>F 60 Kg</v>
      </c>
      <c r="BA22" s="8" t="str">
        <f>VLOOKUP($Q$9,$Y$3:$KX$4,156,0)</f>
        <v>F -63 Kg</v>
      </c>
      <c r="BB22" s="8" t="str">
        <f>VLOOKUP($Q$9,$Y$3:$KX$4,171,0)</f>
        <v>Kata</v>
      </c>
      <c r="BG22" s="8" t="str">
        <f>VLOOKUP($Q$9,$Y$3:$KX$4,228,0)</f>
        <v>W4-</v>
      </c>
      <c r="BJ22" s="8"/>
      <c r="BR22" s="8" t="str">
        <f>VLOOKUP($Q$9,$Y$3:$KX$4,17,0)</f>
        <v>100m mariposa</v>
      </c>
      <c r="CA22" s="8" t="str">
        <f>VLOOKUP($Q$9,$Y$3:$KX$4,192,0)</f>
        <v>Libre M 97 Kg</v>
      </c>
    </row>
    <row r="23" ht="16.5" customHeight="1">
      <c r="A23" s="22"/>
      <c r="B23" s="28">
        <v>13.0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5"/>
      <c r="S23" s="5"/>
      <c r="T23" s="5"/>
      <c r="U23" s="22"/>
      <c r="V23" s="22"/>
      <c r="W23" s="22"/>
      <c r="X23" s="22"/>
      <c r="Y23" s="12"/>
      <c r="Z23" s="8"/>
      <c r="AB23" s="8" t="str">
        <f>VLOOKUP($Q$9,$Y$3:$KX$4,40,0)</f>
        <v>4x100m</v>
      </c>
      <c r="AJ23" s="8" t="str">
        <f>VLOOKUP($Q$9,$Y$3:$KX$4,77,0)</f>
        <v>F 66 Kg</v>
      </c>
      <c r="BA23" s="8" t="str">
        <f>VLOOKUP($Q$9,$Y$3:$KX$4,157,0)</f>
        <v>F -70 Kg</v>
      </c>
      <c r="BG23" s="8" t="str">
        <f>VLOOKUP($Q$9,$Y$3:$KX$4,229,0)</f>
        <v>LW2x</v>
      </c>
      <c r="BJ23" s="8"/>
      <c r="BR23" s="8" t="str">
        <f t="shared" ref="BR23:BR24" si="1">VLOOKUP($Q$9,$Y$3:$KX$4,18,0)</f>
        <v>200m mariposa</v>
      </c>
      <c r="CA23" s="8" t="str">
        <f>VLOOKUP($Q$9,$Y$3:$KX$4,193,0)</f>
        <v>Libre M 125 Kg</v>
      </c>
    </row>
    <row r="24" ht="16.5" customHeight="1">
      <c r="A24" s="22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5"/>
      <c r="S24" s="5"/>
      <c r="T24" s="5"/>
      <c r="U24" s="22"/>
      <c r="V24" s="22"/>
      <c r="W24" s="22"/>
      <c r="X24" s="22"/>
      <c r="Y24" s="12"/>
      <c r="Z24" s="22"/>
      <c r="AB24" s="8" t="str">
        <f>VLOOKUP($Q$9,$Y$3:$KX$4,41,0)</f>
        <v>4x400m</v>
      </c>
      <c r="AJ24" s="8" t="str">
        <f>VLOOKUP($Q$9,$Y$3:$KX$4,78,0)</f>
        <v>F 75 Kg</v>
      </c>
      <c r="BA24" s="8" t="str">
        <f>VLOOKUP($Q$9,$Y$3:$KX$4,158,0)</f>
        <v>F -78 Kg</v>
      </c>
      <c r="BG24" s="8" t="str">
        <f>VLOOKUP($Q$9,$Y$3:$KX$4,230,0)</f>
        <v>Mixto 8+</v>
      </c>
      <c r="BR24" s="8" t="str">
        <f t="shared" si="1"/>
        <v>200m mariposa</v>
      </c>
      <c r="CA24" s="8" t="str">
        <f>VLOOKUP($Q$9,$Y$3:$KX$4,194,0)</f>
        <v>Libre F 50 Kg</v>
      </c>
    </row>
    <row r="25" ht="13.5" customHeight="1">
      <c r="A25" s="1"/>
      <c r="B25" s="28">
        <v>15.0</v>
      </c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5"/>
      <c r="S25" s="5"/>
      <c r="T25" s="5"/>
      <c r="U25" s="1"/>
      <c r="V25" s="1"/>
      <c r="W25" s="1"/>
      <c r="X25" s="1"/>
      <c r="Y25" s="12"/>
      <c r="Z25" s="22"/>
      <c r="AB25" s="8" t="str">
        <f>VLOOKUP($Q$9,$Y$3:$KX$4,42,0)</f>
        <v>Salto de Altura</v>
      </c>
      <c r="AW25" s="5"/>
      <c r="BA25" s="8" t="str">
        <f>VLOOKUP($Q$9,$Y$3:$KX$4,159,0)</f>
        <v>F +78 Kg</v>
      </c>
      <c r="BR25" s="8" t="str">
        <f>VLOOKUP($Q$9,$Y$3:$KX$4,19,0)</f>
        <v>200m combinado individual</v>
      </c>
      <c r="CA25" s="8" t="str">
        <f>VLOOKUP($Q$9,$Y$3:$KX$4,195,0)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5"/>
      <c r="S26" s="5"/>
      <c r="T26" s="5"/>
      <c r="U26" s="1"/>
      <c r="V26" s="1"/>
      <c r="W26" s="1"/>
      <c r="X26" s="1"/>
      <c r="Y26" s="12"/>
      <c r="Z26" s="22"/>
      <c r="AB26" s="8" t="str">
        <f>VLOOKUP($Q$9,$Y$3:$KX$4,43,0)</f>
        <v>Salto de Longitud</v>
      </c>
      <c r="BA26" s="8" t="str">
        <f>VLOOKUP($Q$9,$Y$3:$KX$4,160,0)</f>
        <v>Equipo  mixto</v>
      </c>
      <c r="BR26" s="8" t="str">
        <f>VLOOKUP($Q$9,$Y$3:$KX$4,20,0)</f>
        <v>400m combinado individual</v>
      </c>
      <c r="CA26" s="8" t="str">
        <f>VLOOKUP($Q$9,$Y$3:$KX$4,196,0)</f>
        <v>Libre F 57 Kg</v>
      </c>
    </row>
    <row r="27" ht="13.5" customHeight="1">
      <c r="A27" s="1"/>
      <c r="B27" s="28">
        <v>17.0</v>
      </c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5"/>
      <c r="S27" s="5"/>
      <c r="T27" s="5"/>
      <c r="U27" s="1"/>
      <c r="V27" s="1"/>
      <c r="W27" s="1"/>
      <c r="X27" s="1"/>
      <c r="Y27" s="12"/>
      <c r="Z27" s="22"/>
      <c r="AB27" s="8" t="str">
        <f>VLOOKUP($Q$9,$Y$3:$KX$4,44,0)</f>
        <v>Salto Triple</v>
      </c>
      <c r="BR27" s="8" t="str">
        <f>VLOOKUP($Q$9,$Y$3:$KX$4,21,0)</f>
        <v>4 x 100m posta libre</v>
      </c>
      <c r="CA27" s="8" t="str">
        <f>VLOOKUP($Q$9,$Y$3:$KX$4,197,0)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5"/>
      <c r="S28" s="5"/>
      <c r="T28" s="5"/>
      <c r="U28" s="1"/>
      <c r="V28" s="1"/>
      <c r="W28" s="1"/>
      <c r="X28" s="1"/>
      <c r="Y28" s="12"/>
      <c r="Z28" s="22"/>
      <c r="AB28" s="8" t="str">
        <f>VLOOKUP($Q$9,$Y$3:$KX$4,45,0)</f>
        <v>Salto con Pérdiga</v>
      </c>
      <c r="BR28" s="8" t="str">
        <f>VLOOKUP($Q$9,$Y$3:$KX$4,22,0)</f>
        <v>4 x 200m posta libre</v>
      </c>
      <c r="CA28" s="8" t="str">
        <f>VLOOKUP($Q$9,$Y$3:$KX$4,198,0)</f>
        <v>Libre F 68 Kg</v>
      </c>
    </row>
    <row r="29" ht="13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6"/>
      <c r="Z29" s="5"/>
      <c r="AB29" s="5"/>
      <c r="BR29" s="5"/>
      <c r="CA29" s="5"/>
    </row>
    <row r="30" ht="13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6"/>
      <c r="Z30" s="5"/>
      <c r="AB30" s="5"/>
      <c r="BR30" s="5"/>
      <c r="CA30" s="5"/>
    </row>
    <row r="31" ht="13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6"/>
      <c r="Z31" s="5"/>
      <c r="AB31" s="5"/>
      <c r="BR31" s="5"/>
      <c r="CA31" s="5"/>
    </row>
    <row r="32" ht="13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6"/>
      <c r="Z32" s="5"/>
      <c r="AB32" s="5"/>
      <c r="BR32" s="5"/>
      <c r="CA32" s="5"/>
    </row>
    <row r="33" ht="13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6"/>
      <c r="Z33" s="5"/>
      <c r="AB33" s="5"/>
      <c r="BR33" s="5"/>
      <c r="CA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6"/>
      <c r="Z34" s="5"/>
      <c r="AB34" s="5"/>
      <c r="BR34" s="5"/>
      <c r="CA34" s="5"/>
    </row>
  </sheetData>
  <mergeCells count="3">
    <mergeCell ref="B1:C1"/>
    <mergeCell ref="D3:D4"/>
    <mergeCell ref="D5:D7"/>
  </mergeCells>
  <dataValidations>
    <dataValidation type="list" allowBlank="1" showErrorMessage="1" sqref="Q9">
      <formula1>"Español,English"</formula1>
    </dataValidation>
    <dataValidation type="list" allowBlank="1" showErrorMessage="1" sqref="E11:E28">
      <formula1>FBL!$CC$12:$CC$13</formula1>
    </dataValidation>
    <dataValidation type="list" allowBlank="1" showErrorMessage="1" sqref="F11:F28">
      <formula1>FBL!$AS$12</formula1>
    </dataValidation>
    <dataValidation type="list" allowBlank="1" showErrorMessage="1" sqref="Q11:Q27">
      <formula1>FBL!$AS$12:$AS$15</formula1>
    </dataValidation>
  </dataValidations>
  <printOptions/>
  <pageMargins bottom="0.75" footer="0.0" header="0.0" left="0.75" right="0.25" top="1.0"/>
  <pageSetup fitToHeight="0" paperSize="9" orientation="landscape"/>
  <drawing r:id="rId1"/>
</worksheet>
</file>