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TB" sheetId="1" r:id="rId4"/>
  </sheets>
  <definedNames/>
  <calcPr/>
</workbook>
</file>

<file path=xl/sharedStrings.xml><?xml version="1.0" encoding="utf-8"?>
<sst xmlns="http://schemas.openxmlformats.org/spreadsheetml/2006/main" count="1122" uniqueCount="692">
  <si>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</si>
  <si>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</si>
  <si>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</si>
  <si>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</si>
  <si>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</si>
  <si>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</si>
  <si>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</si>
  <si>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</si>
  <si>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</si>
  <si>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</si>
  <si>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</si>
  <si>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</si>
  <si>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</si>
  <si>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</si>
  <si>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</si>
  <si>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</si>
  <si>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</si>
  <si>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</si>
  <si>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</si>
  <si>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</si>
  <si>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</si>
  <si>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</si>
  <si>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</si>
  <si>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</si>
  <si>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</si>
  <si>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</si>
  <si>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</si>
  <si>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</si>
  <si>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</si>
  <si>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</si>
  <si>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</si>
  <si>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</si>
  <si>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</si>
  <si>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</si>
  <si>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</si>
  <si>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</si>
  <si>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</si>
  <si>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</si>
  <si>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</si>
  <si>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</si>
  <si>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</si>
  <si>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</si>
  <si>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</si>
  <si>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</si>
  <si>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</si>
  <si>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</si>
  <si>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</si>
  <si>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</si>
  <si>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</si>
  <si>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</si>
  <si>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</si>
  <si>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</si>
  <si>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</si>
  <si>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</si>
  <si>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</si>
  <si>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</si>
  <si>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</si>
  <si>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</si>
  <si>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</si>
  <si>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</si>
  <si>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</si>
  <si>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</si>
  <si>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</si>
  <si>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</si>
  <si>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</si>
  <si>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</si>
  <si>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</si>
  <si>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</si>
  <si>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</si>
  <si>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</si>
  <si>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</si>
  <si>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</si>
  <si>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</si>
  <si>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</si>
  <si>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</si>
  <si>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</si>
  <si>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</si>
  <si>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</si>
  <si>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</si>
  <si>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</si>
  <si>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</si>
  <si>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</si>
  <si>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</si>
  <si>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</si>
  <si>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</si>
  <si>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</si>
  <si>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</si>
  <si>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</si>
  <si>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</si>
  <si>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</si>
  <si>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</si>
  <si>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</si>
  <si>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</si>
  <si>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</si>
  <si>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</si>
  <si>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</si>
  <si>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</si>
  <si>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</si>
  <si>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</si>
  <si>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</si>
  <si>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</si>
  <si>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</si>
  <si>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</si>
  <si>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</si>
  <si>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</si>
  <si>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</si>
  <si>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</si>
  <si>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</si>
  <si>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</si>
  <si>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</si>
  <si>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</si>
  <si>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</si>
  <si>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</si>
  <si>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</si>
  <si>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</si>
  <si>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</si>
  <si>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</si>
  <si>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</si>
  <si>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</si>
  <si>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</si>
  <si>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</si>
  <si>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</si>
  <si>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</si>
  <si>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</si>
  <si>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</si>
  <si>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</si>
  <si>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</si>
  <si>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</si>
  <si>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</si>
  <si>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</si>
  <si>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</si>
  <si>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</si>
  <si>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</si>
  <si>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</si>
  <si>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</si>
  <si>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</si>
  <si>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</si>
  <si>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</si>
  <si>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</si>
  <si>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</si>
  <si>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</si>
  <si>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</si>
  <si>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</si>
  <si>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</si>
  <si>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</si>
  <si>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</si>
  <si>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</si>
  <si>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</si>
  <si>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</si>
  <si>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</si>
  <si>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</si>
  <si>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</si>
  <si>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</si>
  <si>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</si>
  <si>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</si>
  <si>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</si>
  <si>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</si>
  <si>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</si>
  <si>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</si>
  <si>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</si>
  <si>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</si>
  <si>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</si>
  <si>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</si>
  <si>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</si>
  <si>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</si>
  <si>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</si>
  <si>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</si>
  <si>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</si>
  <si>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</si>
  <si>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</si>
  <si>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</si>
  <si>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</si>
  <si>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</si>
  <si>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</si>
  <si>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</si>
  <si>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</si>
  <si>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</si>
  <si>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</si>
  <si>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</si>
  <si>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</si>
  <si>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</si>
  <si>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</si>
  <si>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</si>
  <si>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</si>
  <si>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</si>
  <si>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</si>
  <si>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</si>
  <si>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</si>
  <si>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</si>
  <si>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</si>
  <si>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</si>
  <si>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</si>
  <si>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</si>
  <si>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</si>
  <si>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</si>
  <si>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</si>
  <si>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</si>
  <si>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</si>
  <si>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</si>
  <si>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</si>
  <si>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</si>
  <si>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</si>
  <si>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</si>
  <si>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</si>
  <si>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</si>
  <si>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</si>
  <si>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</si>
  <si>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</si>
  <si>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</si>
  <si>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</si>
  <si>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</si>
  <si>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</si>
  <si>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</si>
  <si>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</si>
  <si>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</si>
  <si>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</si>
  <si>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</si>
  <si>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</si>
  <si>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</si>
  <si>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</si>
  <si>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</si>
  <si>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</si>
  <si>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</si>
  <si>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</si>
  <si>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</si>
  <si>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</si>
  <si>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</si>
  <si>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</si>
  <si>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</si>
  <si>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</si>
  <si>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</si>
  <si>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</si>
  <si>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</si>
  <si>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</si>
  <si>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</si>
  <si>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</si>
  <si>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</si>
  <si>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</si>
  <si>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</si>
  <si>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</si>
  <si>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</si>
  <si>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</si>
  <si>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</si>
  <si>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</si>
  <si>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</si>
  <si>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</si>
  <si>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</si>
  <si>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</si>
  <si>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</si>
  <si>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</si>
  <si>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</si>
  <si>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</si>
  <si>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</si>
  <si>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</si>
  <si>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</si>
  <si>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</si>
  <si>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</si>
  <si>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</si>
  <si>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</si>
  <si>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</si>
  <si>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</si>
  <si>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</si>
  <si>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</si>
  <si>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</si>
  <si>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</si>
  <si>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</si>
  <si>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</si>
  <si>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</si>
  <si>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</si>
  <si>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</si>
  <si>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</si>
  <si>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</si>
  <si>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</si>
  <si>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</si>
  <si>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</si>
  <si>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</si>
  <si>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</si>
  <si>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</si>
  <si>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</si>
  <si>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</si>
  <si>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</si>
  <si>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</si>
  <si>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</si>
  <si>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</si>
  <si>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</si>
  <si>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</si>
  <si>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</si>
  <si>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</si>
  <si>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</si>
  <si>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</si>
  <si>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</si>
  <si>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</si>
  <si>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</si>
  <si>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</si>
  <si>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</si>
  <si>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</si>
  <si>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</si>
  <si>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</si>
  <si>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</si>
  <si>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</si>
  <si>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</si>
  <si>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</si>
  <si>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</si>
  <si>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</si>
  <si>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</si>
  <si>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</si>
  <si>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</si>
  <si>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</si>
  <si>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</si>
  <si>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</si>
  <si>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</si>
  <si>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</si>
  <si>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</si>
  <si>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</si>
  <si>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</si>
  <si>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</si>
  <si>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</si>
  <si>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</si>
  <si>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</si>
  <si>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</si>
  <si>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</si>
  <si>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</si>
  <si>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</si>
  <si>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</si>
  <si>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</si>
  <si>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Sí</t>
  </si>
  <si>
    <t>No</t>
  </si>
  <si>
    <t>Derecha</t>
  </si>
  <si>
    <t>Izquierda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</si>
  <si>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</si>
  <si>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</si>
  <si>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</si>
  <si>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</si>
  <si>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</si>
  <si>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</si>
  <si>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</si>
  <si>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</si>
  <si>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</si>
  <si>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</si>
  <si>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</si>
  <si>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</si>
  <si>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</si>
  <si>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</si>
  <si>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</si>
  <si>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</si>
  <si>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</si>
  <si>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</si>
  <si>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</si>
  <si>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</si>
  <si>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</si>
  <si>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</si>
  <si>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</si>
  <si>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</si>
  <si>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</si>
  <si>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</si>
  <si>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</si>
  <si>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</si>
  <si>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</si>
  <si>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</si>
  <si>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</si>
  <si>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</si>
  <si>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</si>
  <si>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</si>
  <si>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</si>
  <si>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</si>
  <si>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</si>
  <si>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</si>
  <si>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</si>
  <si>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</si>
  <si>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</si>
  <si>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</si>
  <si>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</si>
  <si>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</si>
  <si>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</si>
  <si>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</si>
  <si>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</si>
  <si>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</si>
  <si>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</si>
  <si>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</si>
  <si>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</si>
  <si>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</si>
  <si>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</si>
  <si>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</si>
  <si>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</si>
  <si>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</si>
  <si>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</si>
  <si>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</si>
  <si>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</si>
  <si>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</si>
  <si>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</si>
  <si>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</si>
  <si>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</si>
  <si>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</si>
  <si>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</si>
  <si>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</si>
  <si>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</si>
  <si>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</si>
  <si>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</si>
  <si>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</si>
  <si>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</si>
  <si>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</si>
  <si>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</si>
  <si>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</si>
  <si>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</si>
  <si>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</si>
  <si>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</si>
  <si>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</si>
  <si>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</si>
  <si>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</si>
  <si>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</si>
  <si>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</si>
  <si>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</si>
  <si>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</si>
  <si>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</si>
  <si>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</si>
  <si>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</si>
  <si>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</si>
  <si>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</si>
  <si>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</si>
  <si>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</si>
  <si>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</si>
  <si>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</si>
  <si>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</si>
  <si>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</si>
  <si>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</si>
  <si>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</si>
  <si>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</si>
  <si>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</si>
  <si>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</si>
  <si>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</si>
  <si>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</si>
  <si>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</si>
  <si>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</si>
  <si>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</si>
  <si>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</si>
  <si>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</si>
  <si>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</si>
  <si>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</si>
  <si>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</si>
  <si>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</si>
  <si>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</si>
  <si>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</si>
  <si>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</si>
  <si>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</si>
  <si>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</si>
  <si>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</si>
  <si>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</si>
  <si>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</si>
  <si>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</si>
  <si>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</si>
  <si>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</si>
  <si>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</si>
  <si>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</si>
  <si>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</si>
  <si>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</si>
  <si>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</si>
  <si>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</si>
  <si>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</si>
  <si>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</si>
  <si>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</si>
  <si>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</si>
  <si>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</si>
  <si>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</si>
  <si>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</si>
  <si>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</si>
  <si>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</si>
  <si>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</si>
  <si>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</si>
  <si>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</si>
  <si>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</si>
  <si>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</si>
  <si>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</si>
  <si>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</si>
  <si>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</si>
  <si>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</si>
  <si>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</si>
  <si>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</si>
  <si>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</si>
  <si>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</si>
  <si>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</si>
  <si>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Yes</t>
  </si>
  <si>
    <t>Right</t>
  </si>
  <si>
    <t>Left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</si>
  <si>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</si>
  <si>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</si>
  <si>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</si>
  <si>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</si>
  <si>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</si>
  <si>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</si>
  <si>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</si>
  <si>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</si>
  <si>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</si>
  <si>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</si>
  <si>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</si>
  <si>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</si>
  <si>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</si>
  <si>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</si>
  <si>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</si>
  <si>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</si>
  <si>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</si>
  <si>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</si>
  <si>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</si>
  <si>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</si>
  <si>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</si>
  <si>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</si>
  <si>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</si>
  <si>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</si>
  <si>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</si>
  <si>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</si>
  <si>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</si>
  <si>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</si>
  <si>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</si>
  <si>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</si>
  <si>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</si>
  <si>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</si>
  <si>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</si>
  <si>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Cuenta Instagram</t>
  </si>
  <si>
    <t>Ciudad Natal</t>
  </si>
  <si>
    <t>Sponsor</t>
  </si>
  <si>
    <t>Lado de bateo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</si>
  <si>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</si>
  <si>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</si>
  <si>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</si>
  <si>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</si>
  <si>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</si>
  <si>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</si>
  <si>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</si>
  <si>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</si>
  <si>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</si>
  <si>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</si>
  <si>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</si>
  <si>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</si>
  <si>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</si>
  <si>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</si>
  <si>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</si>
  <si>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</si>
  <si>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</si>
  <si>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</si>
  <si>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</si>
  <si>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</si>
  <si>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</si>
  <si>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</si>
  <si>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</si>
  <si>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</si>
  <si>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</si>
  <si>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</si>
  <si>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</si>
  <si>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</si>
  <si>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</si>
  <si>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</si>
  <si>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</si>
  <si>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</si>
  <si>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</si>
  <si>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</si>
  <si>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Instagram Account</t>
  </si>
  <si>
    <t>Hometown</t>
  </si>
  <si>
    <t>Batting side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</si>
  <si>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</si>
  <si>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</si>
  <si>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</si>
  <si>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</si>
  <si>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</si>
  <si>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</si>
  <si>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</si>
  <si>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</si>
  <si>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</si>
  <si>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</si>
  <si>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</si>
  <si>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</si>
  <si>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</si>
  <si>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</si>
  <si>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</si>
  <si>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</si>
  <si>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</si>
  <si>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</si>
  <si>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</si>
  <si>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</si>
  <si>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</si>
  <si>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</si>
  <si>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</si>
  <si>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</si>
  <si>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</si>
  <si>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</si>
  <si>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</si>
  <si>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</si>
  <si>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</si>
  <si>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</si>
  <si>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</si>
  <si>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</si>
  <si>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</si>
  <si>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</si>
  <si>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</si>
  <si>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</si>
  <si>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</si>
  <si>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</si>
  <si>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</si>
  <si>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</si>
  <si>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</si>
  <si>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</si>
  <si>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</si>
  <si>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</si>
  <si>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</si>
  <si>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</si>
  <si>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</si>
  <si>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</si>
  <si>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</si>
  <si>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</si>
  <si>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</si>
  <si>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</si>
  <si>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</si>
  <si>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</si>
  <si>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</si>
  <si>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</si>
  <si>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</si>
  <si>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</si>
  <si>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</si>
  <si>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</si>
  <si>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</si>
  <si>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</si>
  <si>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</si>
  <si>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</si>
  <si>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</si>
  <si>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</si>
  <si>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</si>
  <si>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</si>
  <si>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</si>
  <si>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</si>
  <si>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</si>
  <si>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</si>
  <si>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</si>
  <si>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</si>
  <si>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</si>
  <si>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</si>
  <si>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</si>
  <si>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</si>
  <si>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</si>
  <si>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UCI - ID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</si>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</sst>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b/>
      <sz val="10.0"/>
      <color rgb="FFFFFFFF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2" fillId="4" fontId="16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38100</xdr:colOff>
      <xdr:row>0</xdr:row>
      <xdr:rowOff>0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238125</xdr:colOff>
      <xdr:row>0</xdr:row>
      <xdr:rowOff>152400</xdr:rowOff>
    </xdr:from>
    <xdr:ext cx="1000125" cy="11144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37.75"/>
    <col customWidth="1" min="5" max="5" width="7.75"/>
    <col customWidth="1" min="6" max="6" width="29.25"/>
    <col customWidth="1" min="7" max="7" width="16.75"/>
    <col customWidth="1" min="8" max="8" width="13.13"/>
    <col customWidth="1" min="9" max="9" width="13.0"/>
    <col customWidth="1" min="10" max="10" width="15.38"/>
    <col customWidth="1" min="11" max="11" width="18.25"/>
    <col customWidth="1" hidden="1" min="12" max="13" width="14.88"/>
    <col customWidth="1" hidden="1" min="14" max="14" width="17.25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  <col customWidth="1" hidden="1" min="311" max="311" width="5.5"/>
    <col customWidth="1" hidden="1" min="312" max="314" width="3.75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  <c r="KY1" s="6">
        <v>289.0</v>
      </c>
      <c r="KZ1" s="6">
        <v>290.0</v>
      </c>
      <c r="LA1" s="6">
        <v>291.0</v>
      </c>
      <c r="LB1" s="6">
        <v>292.0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  <c r="KY2" s="12"/>
      <c r="KZ2" s="12"/>
      <c r="LA2" s="12"/>
      <c r="LB2" s="12"/>
    </row>
    <row r="3" ht="12.75" customHeight="1">
      <c r="A3" s="8"/>
      <c r="B3" s="9"/>
      <c r="C3" s="9"/>
      <c r="D3" s="13" t="str">
        <f>VLOOKUP($J$9,$W$7:$BZ$8,56,0)</f>
        <v>Sport Entries Form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  <c r="KY3" s="12" t="s">
        <v>325</v>
      </c>
      <c r="KZ3" s="12" t="s">
        <v>326</v>
      </c>
      <c r="LA3" s="12" t="s">
        <v>327</v>
      </c>
      <c r="LB3" s="12" t="s">
        <v>328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329</v>
      </c>
      <c r="X4" s="8" t="s">
        <v>330</v>
      </c>
      <c r="Y4" s="8" t="s">
        <v>331</v>
      </c>
      <c r="Z4" s="8" t="s">
        <v>332</v>
      </c>
      <c r="AA4" s="8" t="s">
        <v>333</v>
      </c>
      <c r="AB4" s="8" t="s">
        <v>334</v>
      </c>
      <c r="AC4" s="8" t="s">
        <v>335</v>
      </c>
      <c r="AD4" s="8" t="s">
        <v>336</v>
      </c>
      <c r="AE4" s="8" t="s">
        <v>337</v>
      </c>
      <c r="AF4" s="8" t="s">
        <v>338</v>
      </c>
      <c r="AG4" s="8" t="s">
        <v>339</v>
      </c>
      <c r="AH4" s="8" t="s">
        <v>340</v>
      </c>
      <c r="AI4" s="8" t="s">
        <v>341</v>
      </c>
      <c r="AJ4" s="8" t="s">
        <v>342</v>
      </c>
      <c r="AK4" s="8" t="s">
        <v>343</v>
      </c>
      <c r="AL4" s="8" t="s">
        <v>344</v>
      </c>
      <c r="AM4" s="8" t="s">
        <v>345</v>
      </c>
      <c r="AN4" s="8" t="s">
        <v>346</v>
      </c>
      <c r="AO4" s="8" t="s">
        <v>347</v>
      </c>
      <c r="AP4" s="8" t="s">
        <v>348</v>
      </c>
      <c r="AQ4" s="8" t="s">
        <v>349</v>
      </c>
      <c r="AR4" s="8" t="s">
        <v>350</v>
      </c>
      <c r="AS4" s="8" t="s">
        <v>351</v>
      </c>
      <c r="AT4" s="8" t="s">
        <v>352</v>
      </c>
      <c r="AU4" s="8" t="s">
        <v>353</v>
      </c>
      <c r="AV4" s="8" t="s">
        <v>354</v>
      </c>
      <c r="AW4" s="8" t="s">
        <v>355</v>
      </c>
      <c r="AX4" s="12" t="s">
        <v>356</v>
      </c>
      <c r="AY4" s="12" t="s">
        <v>357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358</v>
      </c>
      <c r="BH4" s="8" t="s">
        <v>359</v>
      </c>
      <c r="BI4" s="8" t="s">
        <v>360</v>
      </c>
      <c r="BJ4" s="8" t="s">
        <v>98</v>
      </c>
      <c r="BK4" s="8" t="s">
        <v>99</v>
      </c>
      <c r="BL4" s="8" t="s">
        <v>361</v>
      </c>
      <c r="BM4" s="8" t="s">
        <v>362</v>
      </c>
      <c r="BN4" s="8" t="s">
        <v>363</v>
      </c>
      <c r="BO4" s="8" t="s">
        <v>364</v>
      </c>
      <c r="BP4" s="8" t="s">
        <v>365</v>
      </c>
      <c r="BQ4" s="8" t="s">
        <v>366</v>
      </c>
      <c r="BR4" s="8" t="s">
        <v>367</v>
      </c>
      <c r="BS4" s="8" t="s">
        <v>368</v>
      </c>
      <c r="BT4" s="8" t="s">
        <v>369</v>
      </c>
      <c r="BU4" s="8" t="s">
        <v>109</v>
      </c>
      <c r="BV4" s="8" t="s">
        <v>370</v>
      </c>
      <c r="BW4" s="8" t="s">
        <v>371</v>
      </c>
      <c r="BX4" s="8" t="s">
        <v>372</v>
      </c>
      <c r="BY4" s="8" t="s">
        <v>373</v>
      </c>
      <c r="BZ4" s="8" t="s">
        <v>114</v>
      </c>
      <c r="CA4" s="8" t="s">
        <v>355</v>
      </c>
      <c r="CB4" s="8" t="s">
        <v>374</v>
      </c>
      <c r="CC4" s="12" t="s">
        <v>375</v>
      </c>
      <c r="CD4" s="12" t="s">
        <v>376</v>
      </c>
      <c r="CE4" s="12" t="s">
        <v>377</v>
      </c>
      <c r="CF4" s="12" t="s">
        <v>378</v>
      </c>
      <c r="CG4" s="12" t="s">
        <v>379</v>
      </c>
      <c r="CH4" s="8" t="s">
        <v>114</v>
      </c>
      <c r="CI4" s="8" t="s">
        <v>380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381</v>
      </c>
      <c r="DO4" s="8" t="s">
        <v>382</v>
      </c>
      <c r="DP4" s="8" t="s">
        <v>383</v>
      </c>
      <c r="DQ4" s="8" t="s">
        <v>155</v>
      </c>
      <c r="DR4" s="8" t="s">
        <v>156</v>
      </c>
      <c r="DS4" s="8" t="s">
        <v>384</v>
      </c>
      <c r="DT4" s="8" t="s">
        <v>385</v>
      </c>
      <c r="DU4" s="8" t="s">
        <v>159</v>
      </c>
      <c r="DV4" s="8" t="s">
        <v>386</v>
      </c>
      <c r="DW4" s="8" t="s">
        <v>387</v>
      </c>
      <c r="DX4" s="8" t="s">
        <v>388</v>
      </c>
      <c r="DY4" s="8" t="s">
        <v>389</v>
      </c>
      <c r="DZ4" s="8" t="s">
        <v>390</v>
      </c>
      <c r="EA4" s="8" t="s">
        <v>391</v>
      </c>
      <c r="EB4" s="8" t="s">
        <v>392</v>
      </c>
      <c r="EC4" s="8" t="s">
        <v>167</v>
      </c>
      <c r="ED4" s="8" t="s">
        <v>393</v>
      </c>
      <c r="EE4" s="8" t="s">
        <v>394</v>
      </c>
      <c r="EF4" s="8" t="s">
        <v>395</v>
      </c>
      <c r="EG4" s="8" t="s">
        <v>396</v>
      </c>
      <c r="EH4" s="8" t="s">
        <v>397</v>
      </c>
      <c r="EI4" s="8" t="s">
        <v>398</v>
      </c>
      <c r="EJ4" s="8" t="s">
        <v>399</v>
      </c>
      <c r="EK4" s="8" t="s">
        <v>175</v>
      </c>
      <c r="EL4" s="8" t="s">
        <v>400</v>
      </c>
      <c r="EM4" s="8" t="s">
        <v>177</v>
      </c>
      <c r="EN4" s="8" t="s">
        <v>178</v>
      </c>
      <c r="EO4" s="12" t="s">
        <v>401</v>
      </c>
      <c r="EP4" s="8" t="s">
        <v>354</v>
      </c>
      <c r="EQ4" s="8" t="s">
        <v>402</v>
      </c>
      <c r="ER4" s="8" t="s">
        <v>403</v>
      </c>
      <c r="ES4" s="8" t="s">
        <v>404</v>
      </c>
      <c r="ET4" s="8" t="s">
        <v>405</v>
      </c>
      <c r="EU4" s="8" t="s">
        <v>406</v>
      </c>
      <c r="EV4" s="8" t="s">
        <v>407</v>
      </c>
      <c r="EW4" s="8" t="s">
        <v>408</v>
      </c>
      <c r="EX4" s="8" t="s">
        <v>409</v>
      </c>
      <c r="EY4" s="8" t="s">
        <v>410</v>
      </c>
      <c r="EZ4" s="8" t="s">
        <v>402</v>
      </c>
      <c r="FA4" s="8" t="s">
        <v>411</v>
      </c>
      <c r="FB4" s="8" t="s">
        <v>412</v>
      </c>
      <c r="FC4" s="8" t="s">
        <v>413</v>
      </c>
      <c r="FD4" s="8" t="s">
        <v>414</v>
      </c>
      <c r="FE4" s="8" t="s">
        <v>415</v>
      </c>
      <c r="FF4" s="8" t="s">
        <v>416</v>
      </c>
      <c r="FG4" s="8" t="s">
        <v>417</v>
      </c>
      <c r="FH4" s="8" t="s">
        <v>114</v>
      </c>
      <c r="FI4" s="8" t="s">
        <v>418</v>
      </c>
      <c r="FJ4" s="8" t="s">
        <v>197</v>
      </c>
      <c r="FK4" s="12" t="s">
        <v>419</v>
      </c>
      <c r="FL4" s="8" t="s">
        <v>420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421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422</v>
      </c>
      <c r="GW4" s="8" t="s">
        <v>423</v>
      </c>
      <c r="GX4" s="8" t="s">
        <v>424</v>
      </c>
      <c r="GY4" s="8" t="s">
        <v>425</v>
      </c>
      <c r="GZ4" s="8" t="s">
        <v>426</v>
      </c>
      <c r="HA4" s="8" t="s">
        <v>427</v>
      </c>
      <c r="HB4" s="8" t="s">
        <v>428</v>
      </c>
      <c r="HC4" s="8" t="s">
        <v>429</v>
      </c>
      <c r="HD4" s="8" t="s">
        <v>430</v>
      </c>
      <c r="HE4" s="8" t="s">
        <v>431</v>
      </c>
      <c r="HF4" s="8" t="s">
        <v>432</v>
      </c>
      <c r="HG4" s="8" t="s">
        <v>433</v>
      </c>
      <c r="HH4" s="8" t="s">
        <v>434</v>
      </c>
      <c r="HI4" s="8" t="s">
        <v>435</v>
      </c>
      <c r="HJ4" s="8" t="s">
        <v>436</v>
      </c>
      <c r="HK4" s="8" t="s">
        <v>437</v>
      </c>
      <c r="HL4" s="8" t="s">
        <v>438</v>
      </c>
      <c r="HM4" s="8" t="s">
        <v>439</v>
      </c>
      <c r="HN4" s="12" t="s">
        <v>440</v>
      </c>
      <c r="HO4" s="8" t="s">
        <v>441</v>
      </c>
      <c r="HP4" s="8" t="s">
        <v>442</v>
      </c>
      <c r="HQ4" s="8" t="s">
        <v>443</v>
      </c>
      <c r="HR4" s="8" t="s">
        <v>444</v>
      </c>
      <c r="HS4" s="8" t="s">
        <v>258</v>
      </c>
      <c r="HT4" s="8" t="s">
        <v>259</v>
      </c>
      <c r="HU4" s="8" t="s">
        <v>445</v>
      </c>
      <c r="HV4" s="8" t="s">
        <v>446</v>
      </c>
      <c r="HW4" s="8" t="s">
        <v>447</v>
      </c>
      <c r="HX4" s="8" t="s">
        <v>263</v>
      </c>
      <c r="HY4" s="8" t="s">
        <v>114</v>
      </c>
      <c r="HZ4" s="8" t="s">
        <v>448</v>
      </c>
      <c r="IA4" s="8" t="s">
        <v>449</v>
      </c>
      <c r="IB4" s="8" t="s">
        <v>114</v>
      </c>
      <c r="IC4" s="8" t="s">
        <v>380</v>
      </c>
      <c r="ID4" s="8" t="s">
        <v>354</v>
      </c>
      <c r="IE4" s="8" t="s">
        <v>374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450</v>
      </c>
      <c r="IS4" s="12" t="s">
        <v>280</v>
      </c>
      <c r="IT4" s="8" t="s">
        <v>114</v>
      </c>
      <c r="IU4" s="8" t="s">
        <v>380</v>
      </c>
      <c r="IV4" s="8" t="s">
        <v>354</v>
      </c>
      <c r="IW4" s="8" t="s">
        <v>374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451</v>
      </c>
      <c r="JK4" s="8" t="s">
        <v>452</v>
      </c>
      <c r="JL4" s="8" t="s">
        <v>114</v>
      </c>
      <c r="JM4" s="8" t="s">
        <v>380</v>
      </c>
      <c r="JN4" s="8" t="s">
        <v>374</v>
      </c>
      <c r="JO4" s="8" t="s">
        <v>114</v>
      </c>
      <c r="JP4" s="8" t="s">
        <v>354</v>
      </c>
      <c r="JQ4" s="8" t="s">
        <v>380</v>
      </c>
      <c r="JR4" s="8" t="s">
        <v>374</v>
      </c>
      <c r="JS4" s="8" t="s">
        <v>453</v>
      </c>
      <c r="JT4" s="8" t="s">
        <v>454</v>
      </c>
      <c r="JU4" s="8" t="s">
        <v>455</v>
      </c>
      <c r="JV4" s="8" t="s">
        <v>456</v>
      </c>
      <c r="JW4" s="8" t="s">
        <v>457</v>
      </c>
      <c r="JX4" s="8" t="s">
        <v>458</v>
      </c>
      <c r="JY4" s="8" t="s">
        <v>459</v>
      </c>
      <c r="JZ4" s="8" t="s">
        <v>460</v>
      </c>
      <c r="KA4" s="8" t="s">
        <v>461</v>
      </c>
      <c r="KB4" s="8" t="s">
        <v>462</v>
      </c>
      <c r="KC4" s="8" t="s">
        <v>463</v>
      </c>
      <c r="KD4" s="8" t="s">
        <v>306</v>
      </c>
      <c r="KE4" s="8" t="s">
        <v>307</v>
      </c>
      <c r="KF4" s="8" t="s">
        <v>464</v>
      </c>
      <c r="KG4" s="8" t="s">
        <v>465</v>
      </c>
      <c r="KH4" s="8" t="s">
        <v>466</v>
      </c>
      <c r="KI4" s="8" t="s">
        <v>114</v>
      </c>
      <c r="KJ4" s="8" t="s">
        <v>449</v>
      </c>
      <c r="KK4" s="8" t="s">
        <v>467</v>
      </c>
      <c r="KL4" s="8" t="s">
        <v>468</v>
      </c>
      <c r="KM4" s="8" t="s">
        <v>469</v>
      </c>
      <c r="KN4" s="8" t="s">
        <v>470</v>
      </c>
      <c r="KO4" s="8" t="s">
        <v>471</v>
      </c>
      <c r="KP4" s="8" t="s">
        <v>472</v>
      </c>
      <c r="KQ4" s="8" t="s">
        <v>317</v>
      </c>
      <c r="KR4" s="8" t="s">
        <v>473</v>
      </c>
      <c r="KS4" s="8" t="s">
        <v>474</v>
      </c>
      <c r="KT4" s="8" t="s">
        <v>475</v>
      </c>
      <c r="KU4" s="12" t="s">
        <v>476</v>
      </c>
      <c r="KV4" s="12" t="s">
        <v>477</v>
      </c>
      <c r="KW4" s="12" t="s">
        <v>478</v>
      </c>
      <c r="KX4" s="12" t="s">
        <v>479</v>
      </c>
      <c r="KY4" s="12" t="s">
        <v>480</v>
      </c>
      <c r="KZ4" s="12" t="s">
        <v>326</v>
      </c>
      <c r="LA4" s="12" t="s">
        <v>481</v>
      </c>
      <c r="LB4" s="12" t="s">
        <v>482</v>
      </c>
    </row>
    <row r="5" ht="12.75" customHeight="1">
      <c r="A5" s="8"/>
      <c r="B5" s="8"/>
      <c r="C5" s="8"/>
      <c r="D5" s="16" t="str">
        <f>VLOOKUP($J$9,$W$7:$BY$8,31,0)</f>
        <v>Mountain Bike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483</v>
      </c>
      <c r="Y5" s="12" t="s">
        <v>484</v>
      </c>
      <c r="Z5" s="12" t="s">
        <v>58</v>
      </c>
      <c r="AA5" s="12" t="s">
        <v>485</v>
      </c>
      <c r="AB5" s="12" t="s">
        <v>486</v>
      </c>
      <c r="AC5" s="12" t="s">
        <v>487</v>
      </c>
      <c r="AD5" s="12" t="s">
        <v>488</v>
      </c>
      <c r="AE5" s="12" t="s">
        <v>489</v>
      </c>
      <c r="AF5" s="12" t="s">
        <v>490</v>
      </c>
      <c r="AG5" s="12" t="s">
        <v>491</v>
      </c>
      <c r="AH5" s="12" t="s">
        <v>492</v>
      </c>
      <c r="AI5" s="12" t="s">
        <v>493</v>
      </c>
      <c r="AJ5" s="12" t="s">
        <v>494</v>
      </c>
      <c r="AK5" s="12" t="s">
        <v>495</v>
      </c>
      <c r="AL5" s="12" t="s">
        <v>496</v>
      </c>
      <c r="AM5" s="12" t="s">
        <v>497</v>
      </c>
      <c r="AN5" s="12" t="s">
        <v>498</v>
      </c>
      <c r="AO5" s="12" t="s">
        <v>499</v>
      </c>
      <c r="AP5" s="12" t="s">
        <v>500</v>
      </c>
      <c r="AQ5" s="12" t="s">
        <v>501</v>
      </c>
      <c r="AR5" s="12" t="s">
        <v>502</v>
      </c>
      <c r="AS5" s="12" t="s">
        <v>503</v>
      </c>
      <c r="AT5" s="12" t="s">
        <v>504</v>
      </c>
      <c r="AU5" s="12" t="s">
        <v>505</v>
      </c>
      <c r="AV5" s="12" t="s">
        <v>506</v>
      </c>
      <c r="AX5" s="12" t="s">
        <v>507</v>
      </c>
      <c r="AY5" s="12" t="s">
        <v>508</v>
      </c>
      <c r="AZ5" s="12" t="s">
        <v>509</v>
      </c>
      <c r="BA5" s="12" t="s">
        <v>510</v>
      </c>
      <c r="BB5" s="12" t="s">
        <v>511</v>
      </c>
      <c r="BC5" s="12" t="s">
        <v>512</v>
      </c>
      <c r="BD5" s="12" t="s">
        <v>513</v>
      </c>
      <c r="BE5" s="12" t="s">
        <v>514</v>
      </c>
      <c r="BF5" s="12" t="s">
        <v>515</v>
      </c>
      <c r="BG5" s="12" t="s">
        <v>516</v>
      </c>
      <c r="BH5" s="12" t="s">
        <v>517</v>
      </c>
      <c r="BI5" s="12" t="s">
        <v>518</v>
      </c>
      <c r="BJ5" s="12" t="s">
        <v>519</v>
      </c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329</v>
      </c>
      <c r="X6" s="8" t="s">
        <v>520</v>
      </c>
      <c r="Y6" s="8" t="s">
        <v>521</v>
      </c>
      <c r="Z6" s="8" t="s">
        <v>522</v>
      </c>
      <c r="AA6" s="8" t="s">
        <v>523</v>
      </c>
      <c r="AB6" s="12" t="s">
        <v>524</v>
      </c>
      <c r="AC6" s="12" t="s">
        <v>525</v>
      </c>
      <c r="AD6" s="12" t="s">
        <v>526</v>
      </c>
      <c r="AE6" s="12" t="s">
        <v>527</v>
      </c>
      <c r="AF6" s="12" t="s">
        <v>528</v>
      </c>
      <c r="AG6" s="12" t="s">
        <v>529</v>
      </c>
      <c r="AH6" s="12" t="s">
        <v>530</v>
      </c>
      <c r="AI6" s="12" t="s">
        <v>531</v>
      </c>
      <c r="AJ6" s="12" t="s">
        <v>532</v>
      </c>
      <c r="AK6" s="12" t="s">
        <v>533</v>
      </c>
      <c r="AL6" s="12" t="s">
        <v>534</v>
      </c>
      <c r="AM6" s="12" t="s">
        <v>535</v>
      </c>
      <c r="AN6" s="12" t="s">
        <v>536</v>
      </c>
      <c r="AO6" s="12" t="s">
        <v>537</v>
      </c>
      <c r="AP6" s="12" t="s">
        <v>538</v>
      </c>
      <c r="AQ6" s="12" t="s">
        <v>539</v>
      </c>
      <c r="AR6" s="12" t="s">
        <v>540</v>
      </c>
      <c r="AS6" s="12" t="s">
        <v>541</v>
      </c>
      <c r="AT6" s="12" t="s">
        <v>542</v>
      </c>
      <c r="AU6" s="12" t="s">
        <v>543</v>
      </c>
      <c r="AV6" s="12" t="s">
        <v>544</v>
      </c>
      <c r="AX6" s="12" t="s">
        <v>545</v>
      </c>
      <c r="AY6" s="12" t="s">
        <v>546</v>
      </c>
      <c r="AZ6" s="12" t="s">
        <v>547</v>
      </c>
      <c r="BA6" s="12" t="s">
        <v>548</v>
      </c>
      <c r="BB6" s="12" t="s">
        <v>549</v>
      </c>
      <c r="BC6" s="12" t="s">
        <v>550</v>
      </c>
      <c r="BD6" s="12" t="s">
        <v>551</v>
      </c>
      <c r="BE6" s="12" t="s">
        <v>552</v>
      </c>
      <c r="BF6" s="12" t="s">
        <v>553</v>
      </c>
      <c r="BG6" s="12" t="s">
        <v>554</v>
      </c>
      <c r="BH6" s="12" t="s">
        <v>555</v>
      </c>
      <c r="BI6" s="12" t="s">
        <v>518</v>
      </c>
      <c r="BJ6" s="12" t="s">
        <v>556</v>
      </c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557</v>
      </c>
      <c r="Y7" s="12" t="s">
        <v>558</v>
      </c>
      <c r="Z7" s="12" t="s">
        <v>559</v>
      </c>
      <c r="AA7" s="12" t="s">
        <v>120</v>
      </c>
      <c r="AB7" s="12" t="s">
        <v>560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561</v>
      </c>
      <c r="AH7" s="12" t="s">
        <v>562</v>
      </c>
      <c r="AI7" s="12" t="s">
        <v>563</v>
      </c>
      <c r="AJ7" s="12" t="s">
        <v>564</v>
      </c>
      <c r="AK7" s="12" t="s">
        <v>565</v>
      </c>
      <c r="AL7" s="12" t="s">
        <v>566</v>
      </c>
      <c r="AM7" s="12" t="s">
        <v>567</v>
      </c>
      <c r="AN7" s="12" t="s">
        <v>568</v>
      </c>
      <c r="AO7" s="12" t="s">
        <v>569</v>
      </c>
      <c r="AP7" s="12" t="s">
        <v>179</v>
      </c>
      <c r="AQ7" s="12" t="s">
        <v>570</v>
      </c>
      <c r="AR7" s="12" t="s">
        <v>571</v>
      </c>
      <c r="AS7" s="12" t="s">
        <v>197</v>
      </c>
      <c r="AT7" s="12" t="s">
        <v>572</v>
      </c>
      <c r="AU7" s="12" t="s">
        <v>573</v>
      </c>
      <c r="AV7" s="12" t="s">
        <v>119</v>
      </c>
      <c r="AW7" s="12" t="s">
        <v>198</v>
      </c>
      <c r="AX7" s="12" t="s">
        <v>574</v>
      </c>
      <c r="AY7" s="12" t="s">
        <v>575</v>
      </c>
      <c r="AZ7" s="12" t="s">
        <v>576</v>
      </c>
      <c r="BA7" s="12" t="s">
        <v>577</v>
      </c>
      <c r="BB7" s="12" t="s">
        <v>578</v>
      </c>
      <c r="BC7" s="12" t="s">
        <v>579</v>
      </c>
      <c r="BD7" s="12" t="s">
        <v>580</v>
      </c>
      <c r="BE7" s="12" t="s">
        <v>581</v>
      </c>
      <c r="BF7" s="12" t="s">
        <v>280</v>
      </c>
      <c r="BG7" s="12" t="s">
        <v>582</v>
      </c>
      <c r="BH7" s="12" t="s">
        <v>121</v>
      </c>
      <c r="BI7" s="12" t="s">
        <v>583</v>
      </c>
      <c r="BJ7" s="12" t="s">
        <v>584</v>
      </c>
      <c r="BK7" s="12" t="s">
        <v>585</v>
      </c>
      <c r="BL7" s="12" t="s">
        <v>586</v>
      </c>
      <c r="BM7" s="12" t="s">
        <v>587</v>
      </c>
      <c r="BN7" s="12" t="s">
        <v>588</v>
      </c>
      <c r="BO7" s="12" t="s">
        <v>589</v>
      </c>
      <c r="BP7" s="12" t="s">
        <v>590</v>
      </c>
      <c r="BQ7" s="12" t="s">
        <v>591</v>
      </c>
      <c r="BR7" s="12" t="s">
        <v>592</v>
      </c>
      <c r="BS7" s="12" t="s">
        <v>593</v>
      </c>
      <c r="BT7" s="12" t="s">
        <v>322</v>
      </c>
      <c r="BU7" s="12" t="s">
        <v>321</v>
      </c>
      <c r="BV7" s="12" t="s">
        <v>594</v>
      </c>
      <c r="BW7" s="12" t="s">
        <v>595</v>
      </c>
      <c r="BX7" s="12" t="s">
        <v>596</v>
      </c>
      <c r="BY7" s="12" t="s">
        <v>597</v>
      </c>
      <c r="BZ7" s="12" t="s">
        <v>598</v>
      </c>
      <c r="CA7" s="7" t="s">
        <v>599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329</v>
      </c>
      <c r="X8" s="12" t="s">
        <v>600</v>
      </c>
      <c r="Y8" s="12" t="s">
        <v>601</v>
      </c>
      <c r="Z8" s="12" t="s">
        <v>602</v>
      </c>
      <c r="AA8" s="12" t="s">
        <v>378</v>
      </c>
      <c r="AB8" s="12" t="s">
        <v>603</v>
      </c>
      <c r="AC8" s="12" t="s">
        <v>376</v>
      </c>
      <c r="AD8" s="12" t="s">
        <v>375</v>
      </c>
      <c r="AE8" s="12" t="s">
        <v>135</v>
      </c>
      <c r="AF8" s="12" t="s">
        <v>150</v>
      </c>
      <c r="AG8" s="12" t="s">
        <v>604</v>
      </c>
      <c r="AH8" s="12" t="s">
        <v>562</v>
      </c>
      <c r="AI8" s="12" t="s">
        <v>605</v>
      </c>
      <c r="AJ8" s="12" t="s">
        <v>606</v>
      </c>
      <c r="AK8" s="12" t="s">
        <v>607</v>
      </c>
      <c r="AL8" s="12" t="s">
        <v>608</v>
      </c>
      <c r="AM8" s="12" t="s">
        <v>609</v>
      </c>
      <c r="AN8" s="12" t="s">
        <v>610</v>
      </c>
      <c r="AO8" s="12" t="s">
        <v>611</v>
      </c>
      <c r="AP8" s="12" t="s">
        <v>401</v>
      </c>
      <c r="AQ8" s="12" t="s">
        <v>612</v>
      </c>
      <c r="AR8" s="12" t="s">
        <v>613</v>
      </c>
      <c r="AS8" s="12" t="s">
        <v>197</v>
      </c>
      <c r="AT8" s="12" t="s">
        <v>614</v>
      </c>
      <c r="AU8" s="12" t="s">
        <v>615</v>
      </c>
      <c r="AV8" s="12" t="s">
        <v>377</v>
      </c>
      <c r="AW8" s="12" t="s">
        <v>419</v>
      </c>
      <c r="AX8" s="12" t="s">
        <v>574</v>
      </c>
      <c r="AY8" s="12" t="s">
        <v>575</v>
      </c>
      <c r="AZ8" s="12" t="s">
        <v>616</v>
      </c>
      <c r="BA8" s="12" t="s">
        <v>617</v>
      </c>
      <c r="BB8" s="12" t="s">
        <v>357</v>
      </c>
      <c r="BC8" s="12" t="s">
        <v>618</v>
      </c>
      <c r="BD8" s="12" t="s">
        <v>619</v>
      </c>
      <c r="BE8" s="12" t="s">
        <v>620</v>
      </c>
      <c r="BF8" s="12" t="s">
        <v>280</v>
      </c>
      <c r="BG8" s="12" t="s">
        <v>621</v>
      </c>
      <c r="BH8" s="12" t="s">
        <v>379</v>
      </c>
      <c r="BI8" s="12" t="s">
        <v>622</v>
      </c>
      <c r="BJ8" s="12" t="s">
        <v>584</v>
      </c>
      <c r="BK8" s="12" t="s">
        <v>585</v>
      </c>
      <c r="BL8" s="12" t="s">
        <v>623</v>
      </c>
      <c r="BM8" s="12" t="s">
        <v>624</v>
      </c>
      <c r="BN8" s="12" t="s">
        <v>625</v>
      </c>
      <c r="BO8" s="12" t="s">
        <v>626</v>
      </c>
      <c r="BP8" s="12" t="s">
        <v>627</v>
      </c>
      <c r="BQ8" s="12" t="s">
        <v>591</v>
      </c>
      <c r="BR8" s="12" t="s">
        <v>628</v>
      </c>
      <c r="BS8" s="12" t="s">
        <v>629</v>
      </c>
      <c r="BT8" s="12" t="s">
        <v>477</v>
      </c>
      <c r="BU8" s="12" t="s">
        <v>476</v>
      </c>
      <c r="BV8" s="12" t="s">
        <v>630</v>
      </c>
      <c r="BW8" s="12" t="s">
        <v>356</v>
      </c>
      <c r="BX8" s="12" t="s">
        <v>631</v>
      </c>
      <c r="BY8" s="12" t="s">
        <v>632</v>
      </c>
      <c r="BZ8" s="12" t="s">
        <v>633</v>
      </c>
      <c r="CA8" s="7" t="s">
        <v>634</v>
      </c>
    </row>
    <row r="9" ht="17.25" customHeight="1">
      <c r="A9" s="8"/>
      <c r="B9" s="19" t="str">
        <f>VLOOKUP($J$9,$W$7:$CA$8,57,0)</f>
        <v>Athlete's Data</v>
      </c>
      <c r="C9" s="20"/>
      <c r="D9" s="20"/>
      <c r="E9" s="10"/>
      <c r="F9" s="21"/>
      <c r="J9" s="22" t="s">
        <v>329</v>
      </c>
      <c r="Q9" s="5"/>
      <c r="R9" s="5"/>
      <c r="S9" s="8"/>
      <c r="T9" s="8"/>
      <c r="U9" s="8"/>
      <c r="V9" s="8"/>
      <c r="W9" s="12"/>
    </row>
    <row r="10" ht="45.0" customHeight="1">
      <c r="A10" s="8"/>
      <c r="B10" s="23" t="s">
        <v>635</v>
      </c>
      <c r="C10" s="24" t="str">
        <f>VLOOKUP($J$9,$W$5:$AE$6,2,0)</f>
        <v>Family Name</v>
      </c>
      <c r="D10" s="24" t="str">
        <f>VLOOKUP($J$9,$W$5:$AE$6,3,0)</f>
        <v>Given Name</v>
      </c>
      <c r="E10" s="24" t="str">
        <f>VLOOKUP($J$9,$W$5:$AE$6,4,0)</f>
        <v>Gender</v>
      </c>
      <c r="F10" s="24" t="str">
        <f>VLOOKUP($J$9,$W$5:$AE$6,5,0)</f>
        <v>Sport Event</v>
      </c>
      <c r="G10" s="25" t="str">
        <f>VLOOKUP($J$9,$W$5:LB$6,6,0)</f>
        <v>Weight</v>
      </c>
      <c r="H10" s="25" t="str">
        <f>VLOOKUP($J$9,$W$5:LB$6,7,0)</f>
        <v>Height</v>
      </c>
      <c r="I10" s="26" t="s">
        <v>636</v>
      </c>
      <c r="J10" s="25" t="str">
        <f>VLOOKUP($J$9,$W$5:LB$6,9,0)</f>
        <v>World Rnk. Individual</v>
      </c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7"/>
      <c r="B11" s="28">
        <v>1.0</v>
      </c>
      <c r="C11" s="29"/>
      <c r="D11" s="29"/>
      <c r="E11" s="30"/>
      <c r="F11" s="31"/>
      <c r="G11" s="31"/>
      <c r="H11" s="31"/>
      <c r="I11" s="31"/>
      <c r="J11" s="31"/>
      <c r="K11" s="5"/>
      <c r="L11" s="5"/>
      <c r="M11" s="5"/>
      <c r="N11" s="5"/>
      <c r="O11" s="5"/>
      <c r="P11" s="5"/>
      <c r="Q11" s="5"/>
      <c r="R11" s="5"/>
      <c r="S11" s="27"/>
      <c r="T11" s="27"/>
      <c r="U11" s="27"/>
      <c r="V11" s="27"/>
      <c r="W11" s="12"/>
      <c r="X11" s="12" t="s">
        <v>637</v>
      </c>
      <c r="Y11" s="12" t="s">
        <v>638</v>
      </c>
      <c r="Z11" s="12" t="s">
        <v>639</v>
      </c>
      <c r="AA11" s="12" t="s">
        <v>640</v>
      </c>
      <c r="AB11" s="12" t="s">
        <v>641</v>
      </c>
      <c r="AC11" s="12" t="s">
        <v>642</v>
      </c>
      <c r="AD11" s="12" t="s">
        <v>643</v>
      </c>
      <c r="AE11" s="12" t="s">
        <v>644</v>
      </c>
      <c r="AF11" s="12" t="s">
        <v>645</v>
      </c>
      <c r="AG11" s="12" t="s">
        <v>646</v>
      </c>
      <c r="AH11" s="12" t="s">
        <v>647</v>
      </c>
      <c r="AI11" s="12" t="s">
        <v>648</v>
      </c>
      <c r="AJ11" s="12" t="s">
        <v>649</v>
      </c>
      <c r="AK11" s="12" t="s">
        <v>650</v>
      </c>
      <c r="AL11" s="12" t="s">
        <v>651</v>
      </c>
      <c r="AM11" s="12" t="s">
        <v>652</v>
      </c>
      <c r="AN11" s="12" t="s">
        <v>653</v>
      </c>
      <c r="AO11" s="12" t="s">
        <v>654</v>
      </c>
      <c r="AP11" s="12" t="s">
        <v>655</v>
      </c>
      <c r="AQ11" s="12" t="s">
        <v>656</v>
      </c>
      <c r="AR11" s="12" t="s">
        <v>657</v>
      </c>
      <c r="AS11" s="12" t="s">
        <v>658</v>
      </c>
      <c r="AT11" s="12" t="s">
        <v>659</v>
      </c>
      <c r="AU11" s="12" t="s">
        <v>660</v>
      </c>
      <c r="AV11" s="12" t="s">
        <v>661</v>
      </c>
      <c r="AW11" s="12" t="s">
        <v>662</v>
      </c>
      <c r="AX11" s="12" t="s">
        <v>663</v>
      </c>
      <c r="AY11" s="12" t="s">
        <v>664</v>
      </c>
      <c r="AZ11" s="12" t="s">
        <v>665</v>
      </c>
      <c r="BA11" s="12" t="s">
        <v>666</v>
      </c>
      <c r="BB11" s="12" t="s">
        <v>667</v>
      </c>
      <c r="BC11" s="12" t="s">
        <v>668</v>
      </c>
      <c r="BD11" s="12" t="s">
        <v>669</v>
      </c>
      <c r="BE11" s="12" t="s">
        <v>670</v>
      </c>
      <c r="BF11" s="12" t="s">
        <v>671</v>
      </c>
      <c r="BG11" s="12" t="s">
        <v>672</v>
      </c>
      <c r="BH11" s="12" t="s">
        <v>673</v>
      </c>
      <c r="BI11" s="12" t="s">
        <v>674</v>
      </c>
      <c r="BJ11" s="12" t="s">
        <v>675</v>
      </c>
      <c r="BK11" s="12" t="s">
        <v>676</v>
      </c>
      <c r="BL11" s="12" t="s">
        <v>677</v>
      </c>
      <c r="BM11" s="12" t="s">
        <v>678</v>
      </c>
      <c r="BN11" s="12" t="s">
        <v>679</v>
      </c>
      <c r="BO11" s="12" t="s">
        <v>680</v>
      </c>
      <c r="BP11" s="12" t="s">
        <v>681</v>
      </c>
      <c r="BQ11" s="12" t="s">
        <v>682</v>
      </c>
      <c r="BR11" s="12" t="s">
        <v>683</v>
      </c>
      <c r="BS11" s="12" t="s">
        <v>684</v>
      </c>
      <c r="BT11" s="12" t="s">
        <v>685</v>
      </c>
      <c r="BU11" s="12" t="s">
        <v>686</v>
      </c>
      <c r="BV11" s="12" t="s">
        <v>687</v>
      </c>
      <c r="BW11" s="12" t="s">
        <v>688</v>
      </c>
      <c r="BX11" s="12" t="s">
        <v>689</v>
      </c>
      <c r="BY11" s="12" t="s">
        <v>690</v>
      </c>
      <c r="BZ11" s="7" t="s">
        <v>691</v>
      </c>
    </row>
    <row r="12" ht="13.5" customHeight="1">
      <c r="A12" s="8"/>
      <c r="B12" s="32">
        <v>2.0</v>
      </c>
      <c r="C12" s="33"/>
      <c r="D12" s="33"/>
      <c r="E12" s="34"/>
      <c r="F12" s="34"/>
      <c r="G12" s="34"/>
      <c r="H12" s="34"/>
      <c r="I12" s="34"/>
      <c r="J12" s="34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VLOOKUP($J$9,$W$3:$KV$4,257,0)</f>
        <v>Recurve Individual</v>
      </c>
      <c r="Y12" s="8" t="str">
        <f>VLOOKUP($J$9,$W$3:$KV$4,200,0)</f>
        <v>Freestyle</v>
      </c>
      <c r="Z12" s="8" t="str">
        <f>VLOOKUP($J$9,$W$3:$KV$4,30,0)</f>
        <v>100m</v>
      </c>
      <c r="AA12" s="8" t="str">
        <f>VLOOKUP($J$9,$W$3:$KV$4,62,0)</f>
        <v>Baseball</v>
      </c>
      <c r="AB12" s="8" t="str">
        <f>VLOOKUP($J$9,$W$3:$KV$4,56,0)</f>
        <v>Individual</v>
      </c>
      <c r="AC12" s="8" t="str">
        <f>VLOOKUP($J$9,$W$3:$KV$4,60,0)</f>
        <v>Basketball 3x3</v>
      </c>
      <c r="AD12" s="8" t="str">
        <f>VLOOKUP($J$9,$W$3:$KV$4,59,0)</f>
        <v>Basketball</v>
      </c>
      <c r="AE12" s="8" t="str">
        <f>VLOOKUP($J$9,$W$3:$KV$4,79,0)</f>
        <v>Breaking</v>
      </c>
      <c r="AF12" s="8" t="str">
        <f>VLOOKUP($J$9,$W$3:$KV$4,93,0)</f>
        <v>BMX Freestyle</v>
      </c>
      <c r="AG12" s="8" t="str">
        <f>VLOOKUP($J$9,$W$3:$KV$4,257,0)</f>
        <v>Recurve Individual</v>
      </c>
      <c r="AH12" s="8" t="str">
        <f>VLOOKUP($J$9,$W$3:$KV$4,64,0)</f>
        <v>Individual</v>
      </c>
      <c r="AI12" s="8" t="str">
        <f>VLOOKUP($J$9,$W$3:$KV$4,110,0)</f>
        <v>Speed</v>
      </c>
      <c r="AJ12" s="8" t="str">
        <f>VLOOKUP($J$9,$W$3:$KV$4,96,0)</f>
        <v>Time Trial</v>
      </c>
      <c r="AK12" s="8" t="str">
        <f>VLOOKUP($J$9,$W$3:$KV$4,90,0)</f>
        <v>K1</v>
      </c>
      <c r="AL12" s="8" t="str">
        <f>VLOOKUP($J$9,$W$3:$KV$4,80,0)</f>
        <v>MK1 1,000m</v>
      </c>
      <c r="AM12" s="8" t="str">
        <f>VLOOKUP($J$9,$W$3:$KV$4,98,0)</f>
        <v>Racing</v>
      </c>
      <c r="AN12" s="8" t="str">
        <f>VLOOKUP($J$9,$W$3:$KV$4,2,0)</f>
        <v>1m Trampoline</v>
      </c>
      <c r="AO12" s="8" t="str">
        <f>VLOOKUP($J$9,$W$3:$KV$4,104,0)</f>
        <v>Dressing Individual</v>
      </c>
      <c r="AP12" s="8" t="str">
        <f>VLOOKUP($J$9,$W$3:$KV$4,123,0)</f>
        <v>Football</v>
      </c>
      <c r="AQ12" s="8" t="str">
        <f>VLOOKUP($J$9,$W$3:$KV$4,112,0)</f>
        <v>Épée Individual</v>
      </c>
      <c r="AR12" s="8" t="str">
        <f>VLOOKUP($J$9,$W$3:$KV$4,124,0)</f>
        <v>Team</v>
      </c>
      <c r="AS12" s="8" t="str">
        <f>VLOOKUP($J$9,$W$3:$KV$4,144,0)</f>
        <v>Golf</v>
      </c>
      <c r="AT12" s="8" t="str">
        <f>VLOOKUP($J$9,$W$3:$KV$4,134,0)</f>
        <v>All Around</v>
      </c>
      <c r="AU12" s="8" t="str">
        <f>VLOOKUP($J$9,$W$3:$KV$4,142,0)</f>
        <v>Individual</v>
      </c>
      <c r="AV12" s="8" t="str">
        <f>VLOOKUP($J$9,$W$3:$KV$4,61,0)</f>
        <v>Handball</v>
      </c>
      <c r="AW12" s="8" t="str">
        <f>VLOOKUP($J$9,$W$3:$KV$4,145,0)</f>
        <v>Field Hockey</v>
      </c>
      <c r="AX12" s="8" t="str">
        <f>VLOOKUP($J$9,$W$3:$KV$4,146,0)</f>
        <v>-60 Kg</v>
      </c>
      <c r="AY12" s="8" t="str">
        <f>VLOOKUP($J$9,$W$3:$KV$4,161,0)</f>
        <v>Kumite M -60 Kg</v>
      </c>
      <c r="AZ12" s="8" t="str">
        <f>VLOOKUP($J$9,$W$3:$KV$4,211,0)</f>
        <v>Individual</v>
      </c>
      <c r="BA12" s="8" t="str">
        <f>VLOOKUP($J$9,$W$3:$KV$4,95,0)</f>
        <v>Cross-Country</v>
      </c>
      <c r="BB12" s="8" t="str">
        <f>VLOOKUP($J$9,$W$3:$KV$4,29,0)</f>
        <v>Open Water Swimming</v>
      </c>
      <c r="BC12" s="8" t="str">
        <f>VLOOKUP($J$9,$W$3:$KV$4,207,0)</f>
        <v>Trinquet Doubles</v>
      </c>
      <c r="BD12" s="8" t="str">
        <f>VLOOKUP($J$9,$W$3:$KV$4,218,0)</f>
        <v>M1x</v>
      </c>
      <c r="BE12" s="8" t="str">
        <f>VLOOKUP($J$9,$W$3:$KV$4,214,0)</f>
        <v>Individual</v>
      </c>
      <c r="BF12" s="8" t="str">
        <f>VLOOKUP($J$9,$W$3:$KV$4,231,0)</f>
        <v>Rugby 7</v>
      </c>
      <c r="BG12" s="8" t="str">
        <f>VLOOKUP($J$9,$W$3:$KV$4,275,0)</f>
        <v>Windsurfing (IQFOIL)</v>
      </c>
      <c r="BH12" s="8" t="str">
        <f>VLOOKUP($J$9,$W$3:$KV$4,63,0)</f>
        <v>Softball</v>
      </c>
      <c r="BI12" s="8" t="str">
        <f>VLOOKUP($J$9,$W$3:$KV$4,263,0)</f>
        <v>50m rifle 3 positions </v>
      </c>
      <c r="BJ12" s="8" t="str">
        <f>VLOOKUP($J$9,$W$3:$KV$4,205,0)</f>
        <v>Street</v>
      </c>
      <c r="BK12" s="8" t="str">
        <f>VLOOKUP($J$9,$W$3:$KV$4,232,0)</f>
        <v>Individual</v>
      </c>
      <c r="BL12" s="8" t="str">
        <f>VLOOKUP($J$9,$W$3:$KV$4,236,0)</f>
        <v>Shortboard</v>
      </c>
      <c r="BM12" s="8" t="str">
        <f>VLOOKUP($J$9,$W$3:$KV$4,201,0)</f>
        <v>200m time trial</v>
      </c>
      <c r="BN12" s="8" t="str">
        <f>VLOOKUP($J$9,$W$3:$KV$4,27,0)</f>
        <v>Doubles</v>
      </c>
      <c r="BO12" s="8" t="str">
        <f>VLOOKUP($J$9,$W$3:$KV$4,7,0)</f>
        <v>50 m freestyle</v>
      </c>
      <c r="BP12" s="8" t="str">
        <f>VLOOKUP($J$9,$W$3:$KV$4,250,0)</f>
        <v>Individual</v>
      </c>
      <c r="BQ12" s="8" t="str">
        <f>VLOOKUP($J$9,$W$3:$KV$4,240,0)</f>
        <v>M Kyorugi -58 Kg</v>
      </c>
      <c r="BR12" s="8" t="str">
        <f>VLOOKUP($J$9,$W$3:$KV$4,273,0)</f>
        <v>Individual</v>
      </c>
      <c r="BS12" s="8" t="str">
        <f>VLOOKUP($J$9,$W$3:$KV$4,253,0)</f>
        <v>Individual</v>
      </c>
      <c r="BT12" s="8" t="str">
        <f>VLOOKUP($J$9,$W$3:$KV$4,286,0)</f>
        <v>Beach Volleyball</v>
      </c>
      <c r="BU12" s="8" t="str">
        <f>VLOOKUP($J$9,$W$3:$KV$4,285,0)</f>
        <v>Volleyball</v>
      </c>
      <c r="BV12" s="8" t="str">
        <f>VLOOKUP($J$9,$W$3:$KV$4,172,0)</f>
        <v>M 61 Kg</v>
      </c>
      <c r="BW12" s="8" t="str">
        <f>VLOOKUP($J$9,$W$3:$KV$4,28,0)</f>
        <v>Waterpolo</v>
      </c>
      <c r="BX12" s="8" t="str">
        <f>VLOOKUP($J$9,$W$3:$KV$4,182,0)</f>
        <v>Grecoroman 60 Kg</v>
      </c>
      <c r="BY12" s="8" t="str">
        <f>VLOOKUP($J$9,$W$3:$KV$4,118,0)</f>
        <v>Figures</v>
      </c>
      <c r="BZ12" s="8" t="str">
        <f>VLOOKUP($J$9,$W$3:$LB$4,287,0)</f>
        <v>Male</v>
      </c>
      <c r="CA12" s="8" t="str">
        <f>VLOOKUP($J$9,$W$3:$LB$4,290,0)</f>
        <v>No</v>
      </c>
      <c r="CB12" s="8" t="str">
        <f>VLOOKUP($J$9,$W$3:$LB$4,291,0)</f>
        <v>Right</v>
      </c>
    </row>
    <row r="13" ht="13.5" customHeight="1">
      <c r="A13" s="8"/>
      <c r="B13" s="28">
        <v>3.0</v>
      </c>
      <c r="C13" s="35"/>
      <c r="D13" s="35"/>
      <c r="E13" s="36"/>
      <c r="F13" s="36"/>
      <c r="G13" s="36"/>
      <c r="H13" s="36"/>
      <c r="I13" s="36"/>
      <c r="J13" s="36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VLOOKUP($J$9,$W$3:$KV$4,258,0)</f>
        <v>Compound Individual</v>
      </c>
      <c r="Z13" s="8" t="str">
        <f>VLOOKUP($J$9,$W$3:$KV$4,31,0)</f>
        <v>200m</v>
      </c>
      <c r="AB13" s="8" t="str">
        <f>VLOOKUP($J$9,$W$3:$KV$4,57,0)</f>
        <v>Doubles</v>
      </c>
      <c r="AH13" s="8" t="str">
        <f>VLOOKUP($J$9,$W$3:$KV$4,65,0)</f>
        <v>Double</v>
      </c>
      <c r="AI13" s="8" t="str">
        <f>VLOOKUP($J$9,$W$3:$KV$4,111,0)</f>
        <v>Boulder &amp; Lead</v>
      </c>
      <c r="AJ13" s="8" t="str">
        <f>VLOOKUP($J$9,$W$3:$KV$4,97,0)</f>
        <v>Road</v>
      </c>
      <c r="AK13" s="8" t="str">
        <f>VLOOKUP($J$9,$W$3:$KV$4,91,0)</f>
        <v>C1</v>
      </c>
      <c r="AL13" s="8" t="str">
        <f>VLOOKUP($J$9,$W$3:$KV$4,81,0)</f>
        <v>MK2 500m</v>
      </c>
      <c r="AM13" s="8" t="str">
        <f>VLOOKUP($J$9,$W$3:$KV$4,99,0)</f>
        <v>Keirin</v>
      </c>
      <c r="AN13" s="8" t="str">
        <f>VLOOKUP($J$9,$W$3:$KV$4,3,0)</f>
        <v>3m Trampoline</v>
      </c>
      <c r="AO13" s="8" t="str">
        <f>VLOOKUP($J$9,$W$3:$KV$4,105,0)</f>
        <v>Dressing Team</v>
      </c>
      <c r="AQ13" s="8" t="str">
        <f>VLOOKUP($J$9,$W$3:$KV$4,113,0)</f>
        <v>Foil Individual</v>
      </c>
      <c r="AR13" s="8" t="str">
        <f>VLOOKUP($J$9,$W$3:$KV$4,125,0)</f>
        <v>All Around</v>
      </c>
      <c r="AT13" s="8" t="str">
        <f>VLOOKUP($J$9,$W$3:$KV$4,135,0)</f>
        <v>Hoop</v>
      </c>
      <c r="AU13" s="8" t="str">
        <f>VLOOKUP($J$9,$W$3:$KV$4,143,0)</f>
        <v>Synchronized</v>
      </c>
      <c r="AX13" s="8" t="str">
        <f>VLOOKUP($J$9,$W$3:$KV$4,147,0)</f>
        <v>M -66 Kg</v>
      </c>
      <c r="AY13" s="8" t="str">
        <f>VLOOKUP($J$9,$W$3:$KV$4,162,0)</f>
        <v>Kumite M -67 Kg</v>
      </c>
      <c r="AZ13" s="8" t="str">
        <f>VLOOKUP($J$9,$W$3:$KV$4,212,0)</f>
        <v>Relay</v>
      </c>
      <c r="BC13" s="8" t="str">
        <f>VLOOKUP($J$9,$W$3:$KV$4,208,0)</f>
        <v>Paleta Gomme</v>
      </c>
      <c r="BD13" s="8" t="str">
        <f>VLOOKUP($J$9,$W$3:$KV$4,219,0)</f>
        <v>M2x</v>
      </c>
      <c r="BE13" s="8" t="str">
        <f>VLOOKUP($J$9,$W$3:$KV$4,215,0)</f>
        <v>Double</v>
      </c>
      <c r="BG13" s="8" t="str">
        <f>VLOOKUP($J$9,$W$3:$KV$4,276,0)</f>
        <v>Dinghy (Ilca 7)</v>
      </c>
      <c r="BI13" s="8" t="str">
        <f>VLOOKUP($J$9,$W$3:$KV$4,264,0)</f>
        <v>10m air rifle</v>
      </c>
      <c r="BJ13" s="8" t="str">
        <f>VLOOKUP($J$9,$W$3:$KV$4,206,0)</f>
        <v>Park</v>
      </c>
      <c r="BK13" s="8" t="str">
        <f>VLOOKUP($J$9,$W$3:$KV$4,233,0)</f>
        <v>Double</v>
      </c>
      <c r="BL13" s="8" t="str">
        <f>VLOOKUP($J$9,$W$3:$KV$4,237,0)</f>
        <v>Sup Surf</v>
      </c>
      <c r="BM13" s="8" t="str">
        <f>VLOOKUP($J$9,$W$3:$KV$4,202,0)</f>
        <v>500m + distance</v>
      </c>
      <c r="BN13" s="8" t="str">
        <f>VLOOKUP($J$9,$W$3:$KV$4,26,0)</f>
        <v>Team</v>
      </c>
      <c r="BO13" s="8" t="str">
        <f>VLOOKUP($J$9,$W$3:$KV$4,8,0)</f>
        <v>100 m freestyle</v>
      </c>
      <c r="BP13" s="8" t="str">
        <f>VLOOKUP($J$9,$W$3:$KV$4,251,0)</f>
        <v>Double</v>
      </c>
      <c r="BQ13" s="8" t="str">
        <f>VLOOKUP($J$9,$W$3:$KV$4,241,0)</f>
        <v>M Kyorugi -68 Kg</v>
      </c>
      <c r="BR13" s="8" t="str">
        <f>VLOOKUP($J$9,$W$3:$KV$4,274,0)</f>
        <v>Mixed relay</v>
      </c>
      <c r="BS13" s="8" t="str">
        <f>VLOOKUP($J$9,$W$3:$KV$4,254,0)</f>
        <v>Team</v>
      </c>
      <c r="BV13" s="8" t="str">
        <f>VLOOKUP($J$9,$W$3:$KV$4,173,0)</f>
        <v>M 73 Kg</v>
      </c>
      <c r="BX13" s="8" t="str">
        <f>VLOOKUP($J$9,$W$3:$KV$4,183,0)</f>
        <v>Grecoroman 67 Kg</v>
      </c>
      <c r="BY13" s="8" t="str">
        <f>VLOOKUP($J$9,$W$3:$KV$4,119,0)</f>
        <v>Slalom</v>
      </c>
      <c r="BZ13" s="8" t="str">
        <f>VLOOKUP($J$9,$W$3:$KX$4,288,0)</f>
        <v>Female</v>
      </c>
      <c r="CA13" s="8" t="str">
        <f>VLOOKUP($J$9,$W$3:$LB$4,289,0)</f>
        <v>Yes</v>
      </c>
      <c r="CB13" s="8" t="str">
        <f>VLOOKUP($J$9,$W$3:$LB$4,292,0)</f>
        <v>Left</v>
      </c>
    </row>
    <row r="14" ht="13.5" customHeight="1">
      <c r="A14" s="8"/>
      <c r="B14" s="32">
        <v>4.0</v>
      </c>
      <c r="C14" s="33"/>
      <c r="D14" s="33"/>
      <c r="E14" s="34"/>
      <c r="F14" s="34"/>
      <c r="G14" s="34"/>
      <c r="H14" s="34"/>
      <c r="I14" s="34"/>
      <c r="J14" s="34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VLOOKUP($J$9,$W$3:$KV$4,259,0)</f>
        <v>Recurve Team</v>
      </c>
      <c r="Z14" s="8" t="str">
        <f>VLOOKUP($J$9,$W$3:$KV$4,32,0)</f>
        <v>400m</v>
      </c>
      <c r="AB14" s="8" t="str">
        <f>VLOOKUP($J$9,$W$3:$KV$4,58,0)</f>
        <v>Mixed doubles</v>
      </c>
      <c r="AH14" s="8"/>
      <c r="AK14" s="8" t="str">
        <f>VLOOKUP($J$9,$W$3:$KV$4,92,0)</f>
        <v>K1 Extreme</v>
      </c>
      <c r="AL14" s="8" t="str">
        <f>VLOOKUP($J$9,$W$3:$KV$4,82,0)</f>
        <v>MK4 500m</v>
      </c>
      <c r="AM14" s="8" t="str">
        <f>VLOOKUP($J$9,$W$3:$KV$4,100,0)</f>
        <v>Omnium</v>
      </c>
      <c r="AN14" s="8" t="str">
        <f>VLOOKUP($J$9,$W$3:$KV$4,4,0)</f>
        <v>10m Platform</v>
      </c>
      <c r="AO14" s="8" t="str">
        <f>VLOOKUP($J$9,$W$3:$KV$4,106,0)</f>
        <v>Eventing Individual</v>
      </c>
      <c r="AQ14" s="8" t="str">
        <f>VLOOKUP($J$9,$W$3:$KV$4,114,0)</f>
        <v>Sabre Individual</v>
      </c>
      <c r="AR14" s="8" t="str">
        <f>VLOOKUP($J$9,$W$3:$KV$4,126,0)</f>
        <v>Floor Excercise</v>
      </c>
      <c r="AT14" s="8" t="str">
        <f>VLOOKUP($J$9,$W$3:$KV$4,136,0)</f>
        <v>Ball</v>
      </c>
      <c r="AX14" s="8" t="str">
        <f>VLOOKUP($J$9,$W$3:$KV$4,148,0)</f>
        <v>M -73 Kg</v>
      </c>
      <c r="AY14" s="8" t="str">
        <f>VLOOKUP($J$9,$W$3:$KV$4,163,0)</f>
        <v>Kumite M -75 Kg</v>
      </c>
      <c r="AZ14" s="8" t="str">
        <f>VLOOKUP($J$9,$W$3:$KV$4,213,0)</f>
        <v>Mixed relay</v>
      </c>
      <c r="BC14" s="8" t="str">
        <f>VLOOKUP($J$9,$W$3:$KV$4,209,0)</f>
        <v>Frontenis -Dobles (Fronton)</v>
      </c>
      <c r="BD14" s="8" t="str">
        <f>VLOOKUP($J$9,$W$3:$KV$4,220,0)</f>
        <v>M4x</v>
      </c>
      <c r="BE14" s="8" t="str">
        <f>VLOOKUP($J$9,$W$3:$KV$4,216,0)</f>
        <v>Team</v>
      </c>
      <c r="BG14" s="8" t="str">
        <f>VLOOKUP($J$9,$W$3:$KV$4,277,0)</f>
        <v>Dinghy (Ilca 6)</v>
      </c>
      <c r="BI14" s="8" t="str">
        <f>VLOOKUP($J$9,$W$3:$KV$4,265,0)</f>
        <v>10m air pistol</v>
      </c>
      <c r="BK14" s="8" t="str">
        <f>VLOOKUP($J$9,$W$3:$KV$4,234,0)</f>
        <v>Team</v>
      </c>
      <c r="BL14" s="8" t="str">
        <f>VLOOKUP($J$9,$W$3:$KV$4,238,0)</f>
        <v>Sup Race</v>
      </c>
      <c r="BM14" s="8" t="str">
        <f>VLOOKUP($J$9,$W$3:$KV$4,203,0)</f>
        <v>10000m Elimination</v>
      </c>
      <c r="BO14" s="8" t="str">
        <f>VLOOKUP($J$9,$W$3:$KV$4,9,0)</f>
        <v>200 m freestyle</v>
      </c>
      <c r="BP14" s="8" t="str">
        <f>VLOOKUP($J$9,$W$3:$KV$4,252,0)</f>
        <v>Mixed doubles</v>
      </c>
      <c r="BQ14" s="8" t="str">
        <f>VLOOKUP($J$9,$W$3:$KV$4,242,0)</f>
        <v>M Kyorugi -80 Kg</v>
      </c>
      <c r="BS14" s="8" t="str">
        <f>VLOOKUP($J$9,$W$3:$KV$4,255,0)</f>
        <v>Double</v>
      </c>
      <c r="BV14" s="8" t="str">
        <f>VLOOKUP($J$9,$W$3:$KV$4,174,0)</f>
        <v>M 89 Kg</v>
      </c>
      <c r="BX14" s="8" t="str">
        <f>VLOOKUP($J$9,$W$3:$KV$4,184,0)</f>
        <v>Grecoroman 77 Kg</v>
      </c>
      <c r="BY14" s="8" t="str">
        <f>VLOOKUP($J$9,$W$3:$KV$4,120,0)</f>
        <v>Leap</v>
      </c>
    </row>
    <row r="15" ht="13.5" customHeight="1">
      <c r="A15" s="8"/>
      <c r="B15" s="28">
        <v>5.0</v>
      </c>
      <c r="C15" s="35"/>
      <c r="D15" s="35"/>
      <c r="E15" s="36"/>
      <c r="F15" s="36"/>
      <c r="G15" s="36"/>
      <c r="H15" s="36"/>
      <c r="I15" s="36"/>
      <c r="J15" s="36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VLOOKUP($J$9,$W$3:$KV$4,260,0)</f>
        <v>Compound Team</v>
      </c>
      <c r="Z15" s="8" t="str">
        <f>VLOOKUP($J$9,$W$3:$KV$4,33,0)</f>
        <v>800m</v>
      </c>
      <c r="AB15" s="8"/>
      <c r="AK15" s="8"/>
      <c r="AL15" s="8" t="str">
        <f>VLOOKUP($J$9,$W$3:$KV$4,83,0)</f>
        <v>MC1 1,000m</v>
      </c>
      <c r="AM15" s="8" t="str">
        <f>VLOOKUP($J$9,$W$3:$KV$4,101,0)</f>
        <v>Team Racing</v>
      </c>
      <c r="AN15" s="8" t="str">
        <f>VLOOKUP($J$9,$W$3:$KV$4,5,0)</f>
        <v>Synchronized 3m Trampoline</v>
      </c>
      <c r="AO15" s="8" t="str">
        <f>VLOOKUP($J$9,$W$3:$KV$4,107,0)</f>
        <v>Eventing Team</v>
      </c>
      <c r="AQ15" s="8" t="str">
        <f>VLOOKUP($J$9,$W$3:$KV$4,115,0)</f>
        <v>Épée Team</v>
      </c>
      <c r="AR15" s="8" t="str">
        <f>VLOOKUP($J$9,$W$3:$KV$4,127,0)</f>
        <v>Pommel Horse</v>
      </c>
      <c r="AT15" s="8" t="str">
        <f>VLOOKUP($J$9,$W$3:$KV$4,137,0)</f>
        <v>Clubs</v>
      </c>
      <c r="AX15" s="8" t="str">
        <f>VLOOKUP($J$9,$W$3:$KV$4,149,0)</f>
        <v>M -81 Kg</v>
      </c>
      <c r="AY15" s="8" t="str">
        <f>VLOOKUP($J$9,$W$3:$KV$4,164,0)</f>
        <v>Kumite M -84 Kg</v>
      </c>
      <c r="BC15" s="8" t="str">
        <f>VLOOKUP($J$9,$W$3:$KV$4,210,0)</f>
        <v>Frontball</v>
      </c>
      <c r="BD15" s="8" t="str">
        <f>VLOOKUP($J$9,$W$3:$KV$4,221,0)</f>
        <v>M2-</v>
      </c>
      <c r="BE15" s="8" t="str">
        <f>VLOOKUP($J$9,$W$3:$KV$4,217,0)</f>
        <v>Mixed doubles</v>
      </c>
      <c r="BG15" s="8" t="str">
        <f>VLOOKUP($J$9,$W$3:$KV$4,278,0)</f>
        <v>Sunfish</v>
      </c>
      <c r="BI15" s="8" t="str">
        <f>VLOOKUP($J$9,$W$3:$KV$4,266,0)</f>
        <v>25m rapid fire pístol</v>
      </c>
      <c r="BK15" s="8" t="str">
        <f>VLOOKUP($J$9,$W$3:$KV$4,235,0)</f>
        <v>Mixed doubles</v>
      </c>
      <c r="BL15" s="8" t="str">
        <f>VLOOKUP($J$9,$W$3:$KV$4,239,0)</f>
        <v>Longboard</v>
      </c>
      <c r="BM15" s="8" t="str">
        <f>VLOOKUP($J$9,$W$3:$KV$4,204,0)</f>
        <v>1000M sprint</v>
      </c>
      <c r="BO15" s="8" t="str">
        <f>VLOOKUP($J$9,$W$3:$KV$4,10,0)</f>
        <v>400 m freestyle</v>
      </c>
      <c r="BQ15" s="8" t="str">
        <f>VLOOKUP($J$9,$W$3:$KV$4,243,0)</f>
        <v>M Kyorugi +80 Kg</v>
      </c>
      <c r="BS15" s="8" t="str">
        <f>VLOOKUP($J$9,$W$3:$KV$4,256,0)</f>
        <v>Mixed doubles</v>
      </c>
      <c r="BV15" s="8" t="str">
        <f>VLOOKUP($J$9,$W$3:$KV$4,175,0)</f>
        <v>M 102 Kg</v>
      </c>
      <c r="BX15" s="8" t="str">
        <f>VLOOKUP($J$9,$W$3:$KV$4,185,0)</f>
        <v>Grecoroman 87 Kg</v>
      </c>
      <c r="BY15" s="8" t="str">
        <f>VLOOKUP($J$9,$W$3:$KV$4,121,0)</f>
        <v>Overall</v>
      </c>
    </row>
    <row r="16" ht="13.5" customHeight="1">
      <c r="A16" s="8"/>
      <c r="B16" s="32">
        <v>6.0</v>
      </c>
      <c r="C16" s="33"/>
      <c r="D16" s="33"/>
      <c r="E16" s="34"/>
      <c r="F16" s="34"/>
      <c r="G16" s="34"/>
      <c r="H16" s="34"/>
      <c r="I16" s="34"/>
      <c r="J16" s="34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VLOOKUP($J$9,$W$3:$KV$4,261,0)</f>
        <v>Recurve Mixed</v>
      </c>
      <c r="Z16" s="8" t="str">
        <f>VLOOKUP($J$9,$W$3:$KV$4,34,0)</f>
        <v>1500m</v>
      </c>
      <c r="AK16" s="8"/>
      <c r="AL16" s="8" t="str">
        <f>VLOOKUP($J$9,$W$3:$KV$4,84,0)</f>
        <v>MC2 500m</v>
      </c>
      <c r="AM16" s="8" t="str">
        <f>VLOOKUP($J$9,$W$3:$KV$4,102,0)</f>
        <v>Team Pursuit</v>
      </c>
      <c r="AN16" s="8" t="str">
        <f>VLOOKUP($J$9,$W$3:$KV$4,6,0)</f>
        <v>Synchronized 10m Platform</v>
      </c>
      <c r="AO16" s="8" t="str">
        <f>VLOOKUP($J$9,$W$3:$KV$4,108,0)</f>
        <v>Jumping Individual</v>
      </c>
      <c r="AQ16" s="8" t="str">
        <f>VLOOKUP($J$9,$W$3:$KV$4,116,0)</f>
        <v>Foil Team</v>
      </c>
      <c r="AR16" s="8" t="str">
        <f>VLOOKUP($J$9,$W$3:$KV$4,128,0)</f>
        <v>Rings</v>
      </c>
      <c r="AT16" s="8" t="str">
        <f>VLOOKUP($J$9,$W$3:$KV$4,138,0)</f>
        <v>Ribbon</v>
      </c>
      <c r="AX16" s="8" t="str">
        <f>VLOOKUP($J$9,$W$3:$KV$4,150,0)</f>
        <v>M -90 Kg</v>
      </c>
      <c r="AY16" s="8" t="str">
        <f>VLOOKUP($J$9,$W$3:$KV$4,165,0)</f>
        <v>Kumite M +84 Kg</v>
      </c>
      <c r="BD16" s="8" t="str">
        <f>VLOOKUP($J$9,$W$3:$KV$4,222,0)</f>
        <v>M4-</v>
      </c>
      <c r="BE16" s="8"/>
      <c r="BG16" s="8" t="str">
        <f>VLOOKUP($J$9,$W$3:$KV$4,279,0)</f>
        <v>Skiff (49er)</v>
      </c>
      <c r="BI16" s="8" t="str">
        <f>VLOOKUP($J$9,$W$3:$KV$4,267,0)</f>
        <v>25m pistol</v>
      </c>
      <c r="BL16" s="8"/>
      <c r="BO16" s="8" t="str">
        <f>VLOOKUP($J$9,$W$3:$KV$4,11,0)</f>
        <v>800 m freestyle</v>
      </c>
      <c r="BQ16" s="8" t="str">
        <f>VLOOKUP($J$9,$W$3:$KV$4,244,0)</f>
        <v>F Kyorugi -49 Kg</v>
      </c>
      <c r="BV16" s="8" t="str">
        <f>VLOOKUP($J$9,$W$3:$KV$4,176,0)</f>
        <v>M +102 Kg</v>
      </c>
      <c r="BX16" s="8" t="str">
        <f>VLOOKUP($J$9,$W$3:$KV$4,186,0)</f>
        <v>Grecoroman 97 Kg</v>
      </c>
      <c r="BY16" s="8" t="str">
        <f>VLOOKUP($J$9,$W$3:$KV$4,122,0)</f>
        <v>Wakeboard</v>
      </c>
    </row>
    <row r="17" ht="13.5" customHeight="1">
      <c r="A17" s="8"/>
      <c r="B17" s="28">
        <v>7.0</v>
      </c>
      <c r="C17" s="35"/>
      <c r="D17" s="35"/>
      <c r="E17" s="36"/>
      <c r="F17" s="36"/>
      <c r="G17" s="36"/>
      <c r="H17" s="36"/>
      <c r="I17" s="36"/>
      <c r="J17" s="36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VLOOKUP($J$9,$W$3:$KV$4,262,0)</f>
        <v>Compund Mixed</v>
      </c>
      <c r="Z17" s="8" t="str">
        <f>VLOOKUP($J$9,$W$3:$KV$4,3,0)</f>
        <v>3m Trampoline</v>
      </c>
      <c r="AL17" s="8" t="str">
        <f>VLOOKUP($J$9,$W$3:$KV$4,85,0)</f>
        <v>WK1 500m</v>
      </c>
      <c r="AM17" s="8" t="str">
        <f>VLOOKUP($J$9,$W$3:$KV$4,103,0)</f>
        <v>Madison</v>
      </c>
      <c r="AO17" s="8" t="str">
        <f>VLOOKUP($J$9,$W$3:$KV$4,109,0)</f>
        <v>Jumping Team</v>
      </c>
      <c r="AQ17" s="8" t="str">
        <f>VLOOKUP($J$9,$W$3:$KV$4,117,0)</f>
        <v>Sabre Team</v>
      </c>
      <c r="AR17" s="8" t="str">
        <f>VLOOKUP($J$9,$W$3:$KV$4,129,0)</f>
        <v>Vault</v>
      </c>
      <c r="AT17" s="8" t="str">
        <f>VLOOKUP($J$9,$W$3:$KV$4,139,0)</f>
        <v>Groups All Round</v>
      </c>
      <c r="AX17" s="8" t="str">
        <f>VLOOKUP($J$9,$W$3:$KV$4,151,0)</f>
        <v>M -100 Kg</v>
      </c>
      <c r="AY17" s="8" t="str">
        <f>VLOOKUP($J$9,$W$3:$KV$4,166,0)</f>
        <v>Kumite F -50 Kg</v>
      </c>
      <c r="BD17" s="8" t="str">
        <f>VLOOKUP($J$9,$W$3:$KV$4,223,0)</f>
        <v>LM2x</v>
      </c>
      <c r="BG17" s="8" t="str">
        <f>VLOOKUP($J$9,$W$3:$KV$4,280,0)</f>
        <v>Skiff (49er Fx)</v>
      </c>
      <c r="BI17" s="8" t="str">
        <f>VLOOKUP($J$9,$W$3:$KV$4,268,0)</f>
        <v>Skeet</v>
      </c>
      <c r="BO17" s="8" t="str">
        <f>VLOOKUP($J$9,$W$3:$KV$4,12,0)</f>
        <v>1,500 m freestyle</v>
      </c>
      <c r="BQ17" s="8" t="str">
        <f>VLOOKUP($J$9,$W$3:$KV$4,245,0)</f>
        <v>F Kyorugi -57 Kg</v>
      </c>
      <c r="BV17" s="8" t="str">
        <f>VLOOKUP($J$9,$W$3:$KV$4,177,0)</f>
        <v>F 49 Kg</v>
      </c>
      <c r="BX17" s="8" t="str">
        <f>VLOOKUP($J$9,$W$3:$KV$4,187,0)</f>
        <v>Grecoroman 130 Kg</v>
      </c>
    </row>
    <row r="18" ht="13.5" customHeight="1">
      <c r="A18" s="8"/>
      <c r="B18" s="32">
        <v>8.0</v>
      </c>
      <c r="C18" s="33"/>
      <c r="D18" s="33"/>
      <c r="E18" s="34"/>
      <c r="F18" s="34"/>
      <c r="G18" s="34"/>
      <c r="H18" s="34"/>
      <c r="I18" s="34"/>
      <c r="J18" s="34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VLOOKUP($J$9,$W$3:$KV$4,35,0)</f>
        <v>5000m</v>
      </c>
      <c r="AL18" s="8" t="str">
        <f>VLOOKUP($J$9,$W$3:$KV$4,86,0)</f>
        <v>WK2 500m</v>
      </c>
      <c r="AR18" s="8" t="str">
        <f>VLOOKUP($J$9,$W$3:$KV$4,130,0)</f>
        <v>Parallel bars</v>
      </c>
      <c r="AT18" s="8" t="str">
        <f>VLOOKUP($J$9,$W$3:$KV$4,140,0)</f>
        <v>5 hoops</v>
      </c>
      <c r="AX18" s="8" t="str">
        <f>VLOOKUP($J$9,$W$3:$KV$4,152,0)</f>
        <v>M +100 Kg</v>
      </c>
      <c r="AY18" s="8" t="str">
        <f>VLOOKUP($J$9,$W$3:$KV$4,167,0)</f>
        <v>Kumite F -55 Kg</v>
      </c>
      <c r="BD18" s="8" t="str">
        <f>VLOOKUP($J$9,$W$3:$KV$4,224,0)</f>
        <v>W1x</v>
      </c>
      <c r="BG18" s="8" t="str">
        <f>VLOOKUP($J$9,$W$3:$KV$4,281,0)</f>
        <v>Kite (Fomula Kite)</v>
      </c>
      <c r="BI18" s="8" t="str">
        <f>VLOOKUP($J$9,$W$3:$KV$4,269,0)</f>
        <v>Trap</v>
      </c>
      <c r="BO18" s="8" t="str">
        <f>VLOOKUP($J$9,$W$3:$KV$4,13,0)</f>
        <v>100 m back</v>
      </c>
      <c r="BQ18" s="8" t="str">
        <f>VLOOKUP($J$9,$W$3:$KV$4,246,0)</f>
        <v>F Kyorugi -67 Kg</v>
      </c>
      <c r="BV18" s="8" t="str">
        <f>VLOOKUP($J$9,$W$3:$KV$4,178,0)</f>
        <v>F 59 Kg</v>
      </c>
      <c r="BX18" s="8" t="str">
        <f>VLOOKUP($J$9,$W$3:$KV$4,188,0)</f>
        <v>Freestyle M 57 Kg</v>
      </c>
    </row>
    <row r="19" ht="13.5" customHeight="1">
      <c r="A19" s="8"/>
      <c r="B19" s="28">
        <v>9.0</v>
      </c>
      <c r="C19" s="35"/>
      <c r="D19" s="35"/>
      <c r="E19" s="36"/>
      <c r="F19" s="36"/>
      <c r="G19" s="36"/>
      <c r="H19" s="36"/>
      <c r="I19" s="36"/>
      <c r="J19" s="36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VLOOKUP($J$9,$W$3:$KV$4,36,0)</f>
        <v>10000m</v>
      </c>
      <c r="AL19" s="8" t="str">
        <f>VLOOKUP($J$9,$W$3:$KV$4,87,0)</f>
        <v>WK4 500M</v>
      </c>
      <c r="AR19" s="8" t="str">
        <f>VLOOKUP($J$9,$W$3:$KV$4,131,0)</f>
        <v>Horizontal Bar</v>
      </c>
      <c r="AT19" s="8" t="str">
        <f>VLOOKUP($J$9,$W$3:$KV$4,141,0)</f>
        <v>3 ribbons / 2 balls</v>
      </c>
      <c r="AX19" s="8" t="str">
        <f>VLOOKUP($J$9,$W$3:$KV$4,153,0)</f>
        <v>F -48 Kg</v>
      </c>
      <c r="AY19" s="8" t="str">
        <f>VLOOKUP($J$9,$W$3:$KV$4,168,0)</f>
        <v>Kumite F -61 Kg</v>
      </c>
      <c r="BD19" s="8" t="str">
        <f>VLOOKUP($J$9,$W$3:$KV$4,225,0)</f>
        <v>W2x</v>
      </c>
      <c r="BG19" s="8" t="str">
        <f>VLOOKUP($J$9,$W$3:$KV$4,282,0)</f>
        <v>Mixed Multihull (Nacra 17)</v>
      </c>
      <c r="BI19" s="8" t="str">
        <f>VLOOKUP($J$9,$W$3:$KV$4,270,0)</f>
        <v>Mixed 10m air rifle</v>
      </c>
      <c r="BO19" s="8" t="str">
        <f>VLOOKUP($J$9,$W$3:$KV$4,14,0)</f>
        <v>200 m back</v>
      </c>
      <c r="BQ19" s="8" t="str">
        <f>VLOOKUP($J$9,$W$3:$KV$4,247,0)</f>
        <v>F Kyorugi +67 Kg</v>
      </c>
      <c r="BV19" s="8" t="str">
        <f>VLOOKUP($J$9,$W$3:$KV$4,179,0)</f>
        <v>F 71 Kg</v>
      </c>
      <c r="BX19" s="8" t="str">
        <f>VLOOKUP($J$9,$W$3:$KV$4,189,0)</f>
        <v>Freestyle M 65 Kg</v>
      </c>
    </row>
    <row r="20" ht="13.5" customHeight="1">
      <c r="A20" s="8"/>
      <c r="B20" s="32">
        <v>10.0</v>
      </c>
      <c r="C20" s="33"/>
      <c r="D20" s="33"/>
      <c r="E20" s="34"/>
      <c r="F20" s="34"/>
      <c r="G20" s="34"/>
      <c r="H20" s="34"/>
      <c r="I20" s="34"/>
      <c r="J20" s="34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VLOOKUP($J$9,$W$3:$KV$4,37,0)</f>
        <v>110 / 100 Hurdles</v>
      </c>
      <c r="AL20" s="8" t="str">
        <f>VLOOKUP($J$9,$W$3:$KV$4,88,0)</f>
        <v>WC1 200m</v>
      </c>
      <c r="AR20" s="8" t="str">
        <f>VLOOKUP($J$9,$W$3:$KV$4,132,0)</f>
        <v>Uneven bars</v>
      </c>
      <c r="AX20" s="8" t="str">
        <f>VLOOKUP($J$9,$W$3:$KV$4,154,0)</f>
        <v>F -52 Kg</v>
      </c>
      <c r="AY20" s="8" t="str">
        <f>VLOOKUP($J$9,$W$3:$KV$4,169,0)</f>
        <v>Kumite F -68 Kg </v>
      </c>
      <c r="BD20" s="8" t="str">
        <f>VLOOKUP($J$9,$W$3:$KV$4,226,0)</f>
        <v>W4x</v>
      </c>
      <c r="BG20" s="8" t="str">
        <f>VLOOKUP($J$9,$W$3:$KV$4,283,0)</f>
        <v>Mixed Dinghy (snipe)</v>
      </c>
      <c r="BI20" s="8" t="str">
        <f>VLOOKUP($J$9,$W$3:$KV$4,271,0)</f>
        <v>Mixed 10m air pistol</v>
      </c>
      <c r="BO20" s="8" t="str">
        <f>VLOOKUP($J$9,$W$3:$KV$4,15,0)</f>
        <v>100 m chest</v>
      </c>
      <c r="BQ20" s="8" t="str">
        <f>VLOOKUP($J$9,$W$3:$KV$4,248,0)</f>
        <v>Poomsae Traditional Individual</v>
      </c>
      <c r="BV20" s="8" t="str">
        <f>VLOOKUP($J$9,$W$3:$KV$4,180,0)</f>
        <v>F 81 Kg</v>
      </c>
      <c r="BX20" s="8" t="str">
        <f>VLOOKUP($J$9,$W$3:$KV$4,190,0)</f>
        <v>Freestyle M 74 Kg</v>
      </c>
    </row>
    <row r="21" ht="13.5" customHeight="1">
      <c r="A21" s="21"/>
      <c r="B21" s="28">
        <v>11.0</v>
      </c>
      <c r="C21" s="29"/>
      <c r="D21" s="29"/>
      <c r="E21" s="31"/>
      <c r="F21" s="31"/>
      <c r="G21" s="31"/>
      <c r="H21" s="31"/>
      <c r="I21" s="31"/>
      <c r="J21" s="31"/>
      <c r="K21" s="5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VLOOKUP($J$9,$W$3:$KV$4,38,0)</f>
        <v>400 hurdles</v>
      </c>
      <c r="AL21" s="8" t="str">
        <f>VLOOKUP($J$9,$W$3:$KV$4,89,0)</f>
        <v>WC2 500m</v>
      </c>
      <c r="AR21" s="8" t="str">
        <f>VLOOKUP($J$9,$W$3:$KV$4,133,0)</f>
        <v>Balance beam</v>
      </c>
      <c r="AX21" s="8" t="str">
        <f>VLOOKUP($J$9,$W$3:$KV$4,155,0)</f>
        <v>F -57 Kg</v>
      </c>
      <c r="AY21" s="8" t="str">
        <f>VLOOKUP($J$9,$W$3:$KV$4,170,0)</f>
        <v>Kumite F +68 Kg</v>
      </c>
      <c r="BD21" s="8" t="str">
        <f>VLOOKUP($J$9,$W$3:$KV$4,227,0)</f>
        <v>W2-</v>
      </c>
      <c r="BG21" s="8" t="str">
        <f>VLOOKUP($J$9,$W$3:$KV$4,284,0)</f>
        <v>Mixed Dinghy (lightning)</v>
      </c>
      <c r="BI21" s="8" t="str">
        <f>VLOOKUP($J$9,$W$3:$KV$4,272,0)</f>
        <v>Mixed Skeet</v>
      </c>
      <c r="BO21" s="8" t="str">
        <f>VLOOKUP($J$9,$W$3:$KV$4,16,0)</f>
        <v>200 m chest</v>
      </c>
      <c r="BQ21" s="8" t="str">
        <f>VLOOKUP($J$9,$W$3:$KV$4,249,0)</f>
        <v>Poomsae Freestyle Pairs</v>
      </c>
      <c r="BV21" s="8" t="str">
        <f>VLOOKUP($J$9,$W$3:$KV$4,181,0)</f>
        <v>F +81 Kg</v>
      </c>
      <c r="BX21" s="8" t="str">
        <f>VLOOKUP($J$9,$W$3:$KV$4,191,0)</f>
        <v>Freestyle M 86 Kg</v>
      </c>
    </row>
    <row r="22" ht="13.5" customHeight="1">
      <c r="A22" s="21"/>
      <c r="B22" s="32">
        <v>12.0</v>
      </c>
      <c r="C22" s="33"/>
      <c r="D22" s="33"/>
      <c r="E22" s="34"/>
      <c r="F22" s="34"/>
      <c r="G22" s="34"/>
      <c r="H22" s="34"/>
      <c r="I22" s="34"/>
      <c r="J22" s="34"/>
      <c r="K22" s="5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VLOOKUP($J$9,$W$3:$KV$4,39,0)</f>
        <v>3000 with obstacles</v>
      </c>
      <c r="AX22" s="8" t="str">
        <f>VLOOKUP($J$9,$W$3:$KV$4,156,0)</f>
        <v>F -63 Kg</v>
      </c>
      <c r="AY22" s="8" t="str">
        <f>VLOOKUP($J$9,$W$3:$KV$4,171,0)</f>
        <v>Kata</v>
      </c>
      <c r="BD22" s="8" t="str">
        <f>VLOOKUP($J$9,$W$3:$KV$4,228,0)</f>
        <v>W4-</v>
      </c>
      <c r="BG22" s="8"/>
      <c r="BO22" s="8" t="str">
        <f>VLOOKUP($J$9,$W$3:$KV$4,17,0)</f>
        <v>100 m butterfly</v>
      </c>
      <c r="BX22" s="8" t="str">
        <f>VLOOKUP($J$9,$W$3:$KV$4,192,0)</f>
        <v>Freestyle M 97 Kg</v>
      </c>
    </row>
    <row r="23" ht="13.5" customHeight="1">
      <c r="A23" s="21"/>
      <c r="B23" s="28">
        <v>13.0</v>
      </c>
      <c r="C23" s="35"/>
      <c r="D23" s="35"/>
      <c r="E23" s="36"/>
      <c r="F23" s="36"/>
      <c r="G23" s="36"/>
      <c r="H23" s="36"/>
      <c r="I23" s="36"/>
      <c r="J23" s="36"/>
      <c r="K23" s="5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VLOOKUP($J$9,$W$3:$KV$4,40,0)</f>
        <v>4x100m</v>
      </c>
      <c r="AX23" s="8" t="str">
        <f>VLOOKUP($J$9,$W$3:$KV$4,157,0)</f>
        <v>F -70 Kg</v>
      </c>
      <c r="BD23" s="8" t="str">
        <f>VLOOKUP($J$9,$W$3:$KV$4,229,0)</f>
        <v>LW2x</v>
      </c>
      <c r="BG23" s="8"/>
      <c r="BO23" s="8" t="str">
        <f t="shared" ref="BO23:BO24" si="1">VLOOKUP($J$9,$W$3:$KV$4,18,0)</f>
        <v>200 m butterfly</v>
      </c>
      <c r="BX23" s="8" t="str">
        <f>VLOOKUP($J$9,$W$3:$KV$4,193,0)</f>
        <v>Freestyle M 125 Kg</v>
      </c>
    </row>
    <row r="24" ht="13.5" customHeight="1">
      <c r="A24" s="21"/>
      <c r="B24" s="32">
        <v>14.0</v>
      </c>
      <c r="C24" s="33"/>
      <c r="D24" s="33"/>
      <c r="E24" s="34"/>
      <c r="F24" s="34"/>
      <c r="G24" s="34"/>
      <c r="H24" s="34"/>
      <c r="I24" s="34"/>
      <c r="J24" s="34"/>
      <c r="K24" s="5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VLOOKUP($J$9,$W$3:$KV$4,41,0)</f>
        <v>4x400m</v>
      </c>
      <c r="AX24" s="8" t="str">
        <f>VLOOKUP($J$9,$W$3:$KV$4,158,0)</f>
        <v>F -78 Kg</v>
      </c>
      <c r="BD24" s="8" t="str">
        <f>VLOOKUP($J$9,$W$3:$KV$4,230,0)</f>
        <v>Mixed 8+</v>
      </c>
      <c r="BO24" s="8" t="str">
        <f t="shared" si="1"/>
        <v>200 m butterfly</v>
      </c>
      <c r="BX24" s="8" t="str">
        <f>VLOOKUP($J$9,$W$3:$KV$4,194,0)</f>
        <v>Freestyle F 50 Kg</v>
      </c>
    </row>
    <row r="25" ht="13.5" customHeight="1">
      <c r="A25" s="1"/>
      <c r="B25" s="28">
        <v>15.0</v>
      </c>
      <c r="C25" s="35"/>
      <c r="D25" s="35"/>
      <c r="E25" s="36"/>
      <c r="F25" s="36"/>
      <c r="G25" s="36"/>
      <c r="H25" s="36"/>
      <c r="I25" s="36"/>
      <c r="J25" s="36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VLOOKUP($J$9,$W$3:$KV$4,42,0)</f>
        <v>High jump</v>
      </c>
      <c r="AX25" s="8" t="str">
        <f>VLOOKUP($J$9,$W$3:$KV$4,159,0)</f>
        <v>F +78 Kg</v>
      </c>
      <c r="BO25" s="8" t="str">
        <f>VLOOKUP($J$9,$W$3:$KV$4,19,0)</f>
        <v>200 m Combined individual</v>
      </c>
      <c r="BX25" s="8" t="str">
        <f>VLOOKUP($J$9,$W$3:$KV$4,195,0)</f>
        <v>Freestyle F 53 Kg</v>
      </c>
    </row>
    <row r="26" ht="13.5" customHeight="1">
      <c r="A26" s="1"/>
      <c r="B26" s="32">
        <v>16.0</v>
      </c>
      <c r="C26" s="33"/>
      <c r="D26" s="33"/>
      <c r="E26" s="34"/>
      <c r="F26" s="34"/>
      <c r="G26" s="34"/>
      <c r="H26" s="34"/>
      <c r="I26" s="34"/>
      <c r="J26" s="34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VLOOKUP($J$9,$W$3:$KV$4,43,0)</f>
        <v>Long jump</v>
      </c>
      <c r="AX26" s="8" t="str">
        <f>VLOOKUP($J$9,$W$3:$KV$4,160,0)</f>
        <v>Mixed Team</v>
      </c>
      <c r="BO26" s="8" t="str">
        <f>VLOOKUP($J$9,$W$3:$KV$4,20,0)</f>
        <v>400 m Combined individual</v>
      </c>
      <c r="BX26" s="8" t="str">
        <f>VLOOKUP($J$9,$W$3:$KV$4,196,0)</f>
        <v>Freestyle F 57 Kg</v>
      </c>
    </row>
    <row r="27" ht="13.5" customHeight="1">
      <c r="A27" s="1"/>
      <c r="B27" s="28">
        <v>17.0</v>
      </c>
      <c r="C27" s="29"/>
      <c r="D27" s="29"/>
      <c r="E27" s="31"/>
      <c r="F27" s="31"/>
      <c r="G27" s="31"/>
      <c r="H27" s="31"/>
      <c r="I27" s="31"/>
      <c r="J27" s="31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VLOOKUP($J$9,$W$3:$KV$4,44,0)</f>
        <v>Triple jump</v>
      </c>
      <c r="BO27" s="8" t="str">
        <f>VLOOKUP($J$9,$W$3:$KV$4,21,0)</f>
        <v>4 x 100 m freestyle relay</v>
      </c>
      <c r="BX27" s="8" t="str">
        <f>VLOOKUP($J$9,$W$3:$KV$4,197,0)</f>
        <v>Freestyle F 62 Kg</v>
      </c>
    </row>
    <row r="28" ht="13.5" customHeight="1">
      <c r="A28" s="1"/>
      <c r="B28" s="32">
        <v>18.0</v>
      </c>
      <c r="C28" s="33"/>
      <c r="D28" s="33"/>
      <c r="E28" s="34"/>
      <c r="F28" s="34"/>
      <c r="G28" s="34"/>
      <c r="H28" s="34"/>
      <c r="I28" s="34"/>
      <c r="J28" s="34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VLOOKUP($J$9,$W$3:$KV$4,45,0)</f>
        <v>Pole Vault</v>
      </c>
      <c r="BO28" s="8" t="str">
        <f>VLOOKUP($J$9,$W$3:$KV$4,22,0)</f>
        <v>4 x 200 m freestyle relay</v>
      </c>
      <c r="BX28" s="8" t="str">
        <f>VLOOKUP($J$9,$W$3:$KV$4,198,0)</f>
        <v>Freestyle F 68 Kg</v>
      </c>
    </row>
    <row r="29" ht="13.5" customHeight="1">
      <c r="A29" s="1"/>
      <c r="B29" s="28">
        <v>19.0</v>
      </c>
      <c r="C29" s="35"/>
      <c r="D29" s="35"/>
      <c r="E29" s="36"/>
      <c r="F29" s="36"/>
      <c r="G29" s="36"/>
      <c r="H29" s="36"/>
      <c r="I29" s="36"/>
      <c r="J29" s="36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VLOOKUP($J$9,$W$3:$KV$4,46,0)</f>
        <v>Put Shot</v>
      </c>
      <c r="BO29" s="8" t="str">
        <f>VLOOKUP($J$9,$W$3:$KV$4,23,0)</f>
        <v>4 x 100 m combined relay</v>
      </c>
      <c r="BX29" s="8" t="str">
        <f>VLOOKUP($J$9,$W$3:$KV$4,199,0)</f>
        <v>Freestyle F 76 Kg</v>
      </c>
    </row>
    <row r="30" ht="13.5" customHeight="1">
      <c r="A30" s="1"/>
      <c r="B30" s="32">
        <v>20.0</v>
      </c>
      <c r="C30" s="33"/>
      <c r="D30" s="33"/>
      <c r="E30" s="34"/>
      <c r="F30" s="34"/>
      <c r="G30" s="34"/>
      <c r="H30" s="34"/>
      <c r="I30" s="34"/>
      <c r="J30" s="34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VLOOKUP($J$9,$W$3:$KV$4,47,0)</f>
        <v>Discus throw</v>
      </c>
      <c r="BO30" s="8" t="str">
        <f>VLOOKUP($J$9,$W$3:$KV$4,24,0)</f>
        <v>Mixed 4 x 100 m freestyle relay</v>
      </c>
    </row>
    <row r="31" ht="13.5" customHeight="1">
      <c r="A31" s="1"/>
      <c r="B31" s="28">
        <v>21.0</v>
      </c>
      <c r="C31" s="35"/>
      <c r="D31" s="35"/>
      <c r="E31" s="36"/>
      <c r="F31" s="36"/>
      <c r="G31" s="36"/>
      <c r="H31" s="36"/>
      <c r="I31" s="36"/>
      <c r="J31" s="36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VLOOKUP($J$9,$W$3:$KV$4,48,0)</f>
        <v>Javelin throw</v>
      </c>
      <c r="BO31" s="8" t="str">
        <f>VLOOKUP($J$9,$W$3:$KV$4,25,0)</f>
        <v>Mixed 4 x 100 m combined relay</v>
      </c>
    </row>
    <row r="32" ht="13.5" customHeight="1">
      <c r="A32" s="1"/>
      <c r="B32" s="32">
        <v>22.0</v>
      </c>
      <c r="C32" s="33"/>
      <c r="D32" s="33"/>
      <c r="E32" s="34"/>
      <c r="F32" s="34"/>
      <c r="G32" s="34"/>
      <c r="H32" s="34"/>
      <c r="I32" s="34"/>
      <c r="J32" s="34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VLOOKUP($J$9,$W$3:$KV$4,49,0)</f>
        <v>Hammer throw</v>
      </c>
    </row>
    <row r="33" ht="13.5" customHeight="1">
      <c r="A33" s="1"/>
      <c r="B33" s="28">
        <v>23.0</v>
      </c>
      <c r="C33" s="29"/>
      <c r="D33" s="29"/>
      <c r="E33" s="31"/>
      <c r="F33" s="31"/>
      <c r="G33" s="31"/>
      <c r="H33" s="31"/>
      <c r="I33" s="31"/>
      <c r="J33" s="31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VLOOKUP($J$9,$W$3:$KV$4,50,0)</f>
        <v>20 km march</v>
      </c>
    </row>
    <row r="34" ht="13.5" customHeight="1">
      <c r="A34" s="1"/>
      <c r="B34" s="32">
        <v>24.0</v>
      </c>
      <c r="C34" s="33"/>
      <c r="D34" s="33"/>
      <c r="E34" s="34"/>
      <c r="F34" s="34"/>
      <c r="G34" s="34"/>
      <c r="H34" s="34"/>
      <c r="I34" s="34"/>
      <c r="J34" s="34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VLOOKUP($J$9,$W$3:$KV$4,51,0)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VLOOKUP($J$9,$W$3:$KV$4,52,0)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VLOOKUP($J$9,$W$3:$KV$4,53,0)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VLOOKUP($J$9,$W$3:$KV$4,54,0)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VLOOKUP($J$9,$W$3:$KV$4,55,0)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4"/>
      <c r="H40" s="4"/>
      <c r="I40" s="1"/>
      <c r="J40" s="1"/>
      <c r="K40" s="1"/>
      <c r="L40" s="1"/>
      <c r="M40" s="1"/>
      <c r="N40" s="1"/>
      <c r="O40" s="1"/>
    </row>
    <row r="41" ht="13.5" customHeight="1">
      <c r="A41" s="1"/>
      <c r="B41" s="1"/>
      <c r="C41" s="1"/>
      <c r="D41" s="1"/>
      <c r="E41" s="3"/>
      <c r="F41" s="3"/>
      <c r="G41" s="4"/>
      <c r="H41" s="4"/>
      <c r="I41" s="1"/>
      <c r="J41" s="1"/>
      <c r="K41" s="1"/>
      <c r="L41" s="1"/>
      <c r="M41" s="1"/>
      <c r="N41" s="1"/>
      <c r="O41" s="1"/>
    </row>
    <row r="42" ht="13.5" customHeight="1">
      <c r="A42" s="1"/>
      <c r="B42" s="1"/>
      <c r="C42" s="1"/>
      <c r="D42" s="1"/>
      <c r="E42" s="3"/>
      <c r="F42" s="3"/>
      <c r="G42" s="4"/>
      <c r="H42" s="4"/>
      <c r="I42" s="1"/>
      <c r="J42" s="1"/>
      <c r="K42" s="1"/>
      <c r="L42" s="1"/>
      <c r="M42" s="1"/>
      <c r="N42" s="1"/>
      <c r="O42" s="1"/>
    </row>
    <row r="43" ht="13.5" customHeight="1">
      <c r="A43" s="1"/>
      <c r="B43" s="1"/>
      <c r="C43" s="1"/>
      <c r="D43" s="1"/>
      <c r="E43" s="3"/>
      <c r="F43" s="3"/>
      <c r="G43" s="4"/>
      <c r="H43" s="4"/>
      <c r="I43" s="1"/>
      <c r="J43" s="1"/>
      <c r="K43" s="1"/>
      <c r="L43" s="1"/>
      <c r="M43" s="1"/>
      <c r="N43" s="1"/>
      <c r="O43" s="1"/>
    </row>
  </sheetData>
  <mergeCells count="3">
    <mergeCell ref="D3:D4"/>
    <mergeCell ref="D5:D7"/>
    <mergeCell ref="B1:C1"/>
  </mergeCells>
  <dataValidations>
    <dataValidation type="list" allowBlank="1" showErrorMessage="1" sqref="J9">
      <formula1>"Español,English"</formula1>
    </dataValidation>
    <dataValidation type="list" allowBlank="1" showErrorMessage="1" sqref="F11:F34">
      <formula1>MTB!$BA$12</formula1>
    </dataValidation>
    <dataValidation type="list" allowBlank="1" showErrorMessage="1" sqref="E11:E34">
      <formula1>MTB!$BZ$12:$BZ$13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