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KW" sheetId="1" r:id="rId4"/>
  </sheets>
  <definedNames/>
  <calcPr/>
  <extLst>
    <ext uri="GoogleSheetsCustomDataVersion2">
      <go:sheetsCustomData xmlns:go="http://customooxmlschemas.google.com/" r:id="rId5" roundtripDataChecksum="jQr9ZZ5X1LXngeZWiZxwOOTI2tKAUVuR/sPbtfNCaRc="/>
    </ext>
  </extLst>
</workbook>
</file>

<file path=xl/sharedStrings.xml><?xml version="1.0" encoding="utf-8"?>
<sst xmlns="http://schemas.openxmlformats.org/spreadsheetml/2006/main" count="1551" uniqueCount="1122">
  <si>
    <t>v 1.0</t>
  </si>
  <si>
    <t>[DIV] - Clavados</t>
  </si>
  <si>
    <t>[SWM] - Natación</t>
  </si>
  <si>
    <t>[SWA] - Natación Artística</t>
  </si>
  <si>
    <t>[WPO] - Polo Acuático</t>
  </si>
  <si>
    <t>[OWS] - Aguas Abiertas</t>
  </si>
  <si>
    <t>[ATH] - Atletismo</t>
  </si>
  <si>
    <t>[BDM] - Bádminton</t>
  </si>
  <si>
    <t>[BKB] - Básquetbol</t>
  </si>
  <si>
    <t>[BK3] - Básquetbol 3x3</t>
  </si>
  <si>
    <t>[HBL] - Balonmano</t>
  </si>
  <si>
    <t>[BBL] - Béisbol</t>
  </si>
  <si>
    <t>[SBL] - Sóftbol</t>
  </si>
  <si>
    <t>[BWL] - Bowling</t>
  </si>
  <si>
    <t>[BOX] - Boxeo</t>
  </si>
  <si>
    <t>[BKG] - Breaking</t>
  </si>
  <si>
    <t>[CSP] - Canotaje - Velocidad</t>
  </si>
  <si>
    <t>[CSL] - Canotaje - Slalom</t>
  </si>
  <si>
    <t>[BMF] - Ciclismo - BMX Freestyle</t>
  </si>
  <si>
    <t>[BMX] - Ciclismo - BMX Racing</t>
  </si>
  <si>
    <t>[MTB] - Ciclismo - Mountain Bike</t>
  </si>
  <si>
    <t>[CRD] - Ciclismo - Ruta</t>
  </si>
  <si>
    <t>[CTR] - Ciclismo - Pista</t>
  </si>
  <si>
    <t>[EDR] - Ecuestre - Adiestramiento</t>
  </si>
  <si>
    <t>[EVE] - Ecuestre - Evento Completo</t>
  </si>
  <si>
    <t>[EJP] - Ecuestre - Salto</t>
  </si>
  <si>
    <t>[CLB] - Escalada Deportiva</t>
  </si>
  <si>
    <t>[FEN] - Esgrima</t>
  </si>
  <si>
    <t>[WSK] - Esquí Acuático</t>
  </si>
  <si>
    <t>[FBL] - Fútbol</t>
  </si>
  <si>
    <t>[GAR] - Gimnasia - Artística</t>
  </si>
  <si>
    <t>[GRY] - Gimnasia - Rítmica</t>
  </si>
  <si>
    <t>[GTR] - Gimnasia - Trampolín</t>
  </si>
  <si>
    <t>[GLF] - Golf</t>
  </si>
  <si>
    <t>[HOC] - Hockey Césped</t>
  </si>
  <si>
    <t>[JUD] - Judo</t>
  </si>
  <si>
    <t>[KTE] - Karate</t>
  </si>
  <si>
    <t>[WLF] - Levantamiento de Pesas</t>
  </si>
  <si>
    <t xml:space="preserve">[WRE] - Lucha </t>
  </si>
  <si>
    <t>[ARS] - Patinaje Artístico</t>
  </si>
  <si>
    <t>[SSK] - Patinaje Velocidad</t>
  </si>
  <si>
    <t>[SKB] - Skateboarding</t>
  </si>
  <si>
    <t>[PEL] - Pelota Vasca</t>
  </si>
  <si>
    <t>[MPN] - Pentatlón Moderno</t>
  </si>
  <si>
    <t>[RQL] - Ráquetbol</t>
  </si>
  <si>
    <t>[ROW] - Remo</t>
  </si>
  <si>
    <t>[RUG] - Rugby 7</t>
  </si>
  <si>
    <t>[SQU] - Squash</t>
  </si>
  <si>
    <t>[SRF] - Surf</t>
  </si>
  <si>
    <t>[TKW] - Taekwondo</t>
  </si>
  <si>
    <t>[TEN] - Tenis</t>
  </si>
  <si>
    <t>[TTE] - Tenis de Mesa</t>
  </si>
  <si>
    <t>[ARC] - Tiro con Arco</t>
  </si>
  <si>
    <t>[SHO] - Tiro</t>
  </si>
  <si>
    <t>[TRI] - Triatlón</t>
  </si>
  <si>
    <t>[SAL] - Vela</t>
  </si>
  <si>
    <t>[VVO] - Vóleibol</t>
  </si>
  <si>
    <t>[VBV] - Vóleibol Playa</t>
  </si>
  <si>
    <t>Genero</t>
  </si>
  <si>
    <t>Español</t>
  </si>
  <si>
    <t>Individual 1m Trampolín</t>
  </si>
  <si>
    <t>Individual 3m Trampolín</t>
  </si>
  <si>
    <t>Individual 10m Plataforma</t>
  </si>
  <si>
    <t>Sincronizados 3m Trampolín</t>
  </si>
  <si>
    <t>Sincronizados 10m Plataforma</t>
  </si>
  <si>
    <t>50m libre</t>
  </si>
  <si>
    <t>100m libre</t>
  </si>
  <si>
    <t>200m libre</t>
  </si>
  <si>
    <t>400m libre</t>
  </si>
  <si>
    <t>800m libre</t>
  </si>
  <si>
    <t>1.500m libre</t>
  </si>
  <si>
    <t>100m espalda</t>
  </si>
  <si>
    <t>200m espalda</t>
  </si>
  <si>
    <t>100m pecho</t>
  </si>
  <si>
    <t>200m pecho</t>
  </si>
  <si>
    <t>100m mariposa</t>
  </si>
  <si>
    <t>200m mariposa</t>
  </si>
  <si>
    <t>200m combinado individual</t>
  </si>
  <si>
    <t>400m combinado individual</t>
  </si>
  <si>
    <t>4 x 100m posta libre</t>
  </si>
  <si>
    <t>4 x 200m posta libre</t>
  </si>
  <si>
    <t>4 x 100m posta combinada</t>
  </si>
  <si>
    <t>Mixto 4 x 100m posta libre</t>
  </si>
  <si>
    <t>Mixto 4 x 100m posta combinada</t>
  </si>
  <si>
    <t>Equipos</t>
  </si>
  <si>
    <t>Duetos</t>
  </si>
  <si>
    <t>Polo Acuático</t>
  </si>
  <si>
    <t>Aguas Abiertas</t>
  </si>
  <si>
    <t>100m</t>
  </si>
  <si>
    <t>200m</t>
  </si>
  <si>
    <t>400m</t>
  </si>
  <si>
    <t>800m</t>
  </si>
  <si>
    <t>1500m</t>
  </si>
  <si>
    <t>5000m</t>
  </si>
  <si>
    <t>10000m</t>
  </si>
  <si>
    <t>110 / 100 vallas</t>
  </si>
  <si>
    <t>400 Vallas</t>
  </si>
  <si>
    <t>3000 con obstáculos</t>
  </si>
  <si>
    <t>4x100m</t>
  </si>
  <si>
    <t>4x400m</t>
  </si>
  <si>
    <t>Salto de Altura</t>
  </si>
  <si>
    <t>Salto de Longitud</t>
  </si>
  <si>
    <t>Salto Triple</t>
  </si>
  <si>
    <t>Salto con Pérdiga</t>
  </si>
  <si>
    <t>Lanzamiento de Bala</t>
  </si>
  <si>
    <t>Lanzamiento de Disco</t>
  </si>
  <si>
    <t>Lanzamiento de Jabalina</t>
  </si>
  <si>
    <t>Lanzamiento de Martillo</t>
  </si>
  <si>
    <t>20 km marcha</t>
  </si>
  <si>
    <t>Marathon</t>
  </si>
  <si>
    <t>Decatlón</t>
  </si>
  <si>
    <t>Heptatlón</t>
  </si>
  <si>
    <t>Mixto 35 km marcha</t>
  </si>
  <si>
    <t>Mixto 4x400m</t>
  </si>
  <si>
    <t>Individual</t>
  </si>
  <si>
    <t>Dobles</t>
  </si>
  <si>
    <t>Dobles Mixto</t>
  </si>
  <si>
    <t>Básquetbol</t>
  </si>
  <si>
    <t>Básquetbol 3x3</t>
  </si>
  <si>
    <t>Balonmano</t>
  </si>
  <si>
    <t>Béisbol</t>
  </si>
  <si>
    <t>Sóftbol</t>
  </si>
  <si>
    <t>M 51 Kg</t>
  </si>
  <si>
    <t>M 57 Kg</t>
  </si>
  <si>
    <t>M 63.5 Kg</t>
  </si>
  <si>
    <t>M 71 Kg</t>
  </si>
  <si>
    <t>M 80 Kg</t>
  </si>
  <si>
    <t>M 92 Kg</t>
  </si>
  <si>
    <t>M +92 Kg</t>
  </si>
  <si>
    <t>F 50 Kg</t>
  </si>
  <si>
    <t>F 54 Kg</t>
  </si>
  <si>
    <t>F 57 Kg</t>
  </si>
  <si>
    <t>F 60 Kg</t>
  </si>
  <si>
    <t>F 66 Kg</t>
  </si>
  <si>
    <t>F 75 Kg</t>
  </si>
  <si>
    <t>Breaking</t>
  </si>
  <si>
    <t>MK1 1,000m</t>
  </si>
  <si>
    <t>MK2 500m</t>
  </si>
  <si>
    <t>MK4 500m</t>
  </si>
  <si>
    <t>MC1 1,000m</t>
  </si>
  <si>
    <t>MC2 500m</t>
  </si>
  <si>
    <t>WK1 500m</t>
  </si>
  <si>
    <t>WK2 500m</t>
  </si>
  <si>
    <t>WK4 500M</t>
  </si>
  <si>
    <t>WC1 200m</t>
  </si>
  <si>
    <t>WC2 500m</t>
  </si>
  <si>
    <t>K1</t>
  </si>
  <si>
    <t>C1</t>
  </si>
  <si>
    <t>K1 Extreme</t>
  </si>
  <si>
    <t>BMX Freestyle</t>
  </si>
  <si>
    <t>BMX Racing</t>
  </si>
  <si>
    <t>Cross-Country</t>
  </si>
  <si>
    <t>Contrareloj</t>
  </si>
  <si>
    <t>Gran Fondo</t>
  </si>
  <si>
    <t>Velocidad Individual</t>
  </si>
  <si>
    <t>Keirin</t>
  </si>
  <si>
    <t>Omnium</t>
  </si>
  <si>
    <t>Velocidad Equipos</t>
  </si>
  <si>
    <t>Persecución Equipos</t>
  </si>
  <si>
    <t>Madison</t>
  </si>
  <si>
    <t>Adiestramiento Individual</t>
  </si>
  <si>
    <t>Adiestramiento Equipos</t>
  </si>
  <si>
    <t>Evento Completo Individual</t>
  </si>
  <si>
    <t>Evento Completo Equipos</t>
  </si>
  <si>
    <t>Salto Individual</t>
  </si>
  <si>
    <t>Salto Equipos</t>
  </si>
  <si>
    <t>Velocidad</t>
  </si>
  <si>
    <t>Boulder &amp; Lead</t>
  </si>
  <si>
    <t>Espada Individual</t>
  </si>
  <si>
    <t>Florete Individual</t>
  </si>
  <si>
    <t>Sable Individual</t>
  </si>
  <si>
    <t>Espada Equipos</t>
  </si>
  <si>
    <t>Florete Equipos</t>
  </si>
  <si>
    <t>Sable Equipos</t>
  </si>
  <si>
    <t>Figuras</t>
  </si>
  <si>
    <t>Slalom</t>
  </si>
  <si>
    <t>Salto</t>
  </si>
  <si>
    <t>Overall</t>
  </si>
  <si>
    <t>Wakeboard</t>
  </si>
  <si>
    <t>Fútbol</t>
  </si>
  <si>
    <t>Individual General</t>
  </si>
  <si>
    <t>Suelo</t>
  </si>
  <si>
    <t>Caballo Con Arzones</t>
  </si>
  <si>
    <t>Anillas</t>
  </si>
  <si>
    <t>Barras Paralelas</t>
  </si>
  <si>
    <t>Barra Fija</t>
  </si>
  <si>
    <t>Barras Asimétricas</t>
  </si>
  <si>
    <t>Viga De Equilibrio</t>
  </si>
  <si>
    <t>General Individual</t>
  </si>
  <si>
    <t>Aro</t>
  </si>
  <si>
    <t>Pelota</t>
  </si>
  <si>
    <t>Mazas</t>
  </si>
  <si>
    <t>Cinta</t>
  </si>
  <si>
    <t>General De Conjuntos</t>
  </si>
  <si>
    <t>5 Aros</t>
  </si>
  <si>
    <t>3 Cintas/2 Pelotas</t>
  </si>
  <si>
    <t>Sincronizados</t>
  </si>
  <si>
    <t>Golf</t>
  </si>
  <si>
    <t>Hockey Césped</t>
  </si>
  <si>
    <t>M -60 Kg</t>
  </si>
  <si>
    <t>M -66 Kg</t>
  </si>
  <si>
    <t>M -73 Kg</t>
  </si>
  <si>
    <t>M -81 Kg</t>
  </si>
  <si>
    <t>M -90 Kg</t>
  </si>
  <si>
    <t>M -100 Kg</t>
  </si>
  <si>
    <t>M +100 Kg</t>
  </si>
  <si>
    <t>F -48 Kg</t>
  </si>
  <si>
    <t>F -52 Kg</t>
  </si>
  <si>
    <t>F -57 Kg</t>
  </si>
  <si>
    <t>F -63 Kg</t>
  </si>
  <si>
    <t>F -70 Kg</t>
  </si>
  <si>
    <t>F -78 Kg</t>
  </si>
  <si>
    <t>F +78 Kg</t>
  </si>
  <si>
    <t>Equipo  mixto</t>
  </si>
  <si>
    <t>Kumite M -60 Kg</t>
  </si>
  <si>
    <t>Kumite M -67 Kg</t>
  </si>
  <si>
    <t>Kumite M -75 Kg</t>
  </si>
  <si>
    <t>Kumite M -84 Kg</t>
  </si>
  <si>
    <t>Kumite M +84 Kg</t>
  </si>
  <si>
    <t>Kumite F -50 Kg</t>
  </si>
  <si>
    <t>Kumite F -55 Kg</t>
  </si>
  <si>
    <t>Kumite F -61 Kg</t>
  </si>
  <si>
    <t xml:space="preserve">Kumite F -68 Kg </t>
  </si>
  <si>
    <t>Kumite F +68 Kg</t>
  </si>
  <si>
    <t>Kata</t>
  </si>
  <si>
    <t>M 61 Kg</t>
  </si>
  <si>
    <t>M 73 Kg</t>
  </si>
  <si>
    <t>M 89 Kg</t>
  </si>
  <si>
    <t>M 102 Kg</t>
  </si>
  <si>
    <t>M +102 Kg</t>
  </si>
  <si>
    <t>F 49 Kg</t>
  </si>
  <si>
    <t>F 59 Kg</t>
  </si>
  <si>
    <t>F 71 Kg</t>
  </si>
  <si>
    <t>F 81 Kg</t>
  </si>
  <si>
    <t>F +81 Kg</t>
  </si>
  <si>
    <t>Grecoromana 60 Kg</t>
  </si>
  <si>
    <t>Grecoromana 67 Kg</t>
  </si>
  <si>
    <t>Grecoromana 77 Kg</t>
  </si>
  <si>
    <t>Grecoromana 87 Kg</t>
  </si>
  <si>
    <t>Grecoromana 97 Kg</t>
  </si>
  <si>
    <t>Grecoromana 130 Kg</t>
  </si>
  <si>
    <t>Libre M 57 Kg</t>
  </si>
  <si>
    <t>Libre M 65 Kg</t>
  </si>
  <si>
    <t>Libre M 74 Kg</t>
  </si>
  <si>
    <t>Libre M 86 Kg</t>
  </si>
  <si>
    <t>Libre M 97 Kg</t>
  </si>
  <si>
    <t>Libre M 125 Kg</t>
  </si>
  <si>
    <t>Libre F 50 Kg</t>
  </si>
  <si>
    <t>Libre F 53 Kg</t>
  </si>
  <si>
    <t>Libre F 57 Kg</t>
  </si>
  <si>
    <t>Libre F 62 Kg</t>
  </si>
  <si>
    <t>Libre F 68 Kg</t>
  </si>
  <si>
    <t>Libre F 76 Kg</t>
  </si>
  <si>
    <t>Libre</t>
  </si>
  <si>
    <t>200m Meta Contra Meta</t>
  </si>
  <si>
    <t>500m + Distancia</t>
  </si>
  <si>
    <t>10000m Eliminación</t>
  </si>
  <si>
    <t>1000m Sprint</t>
  </si>
  <si>
    <t>Street</t>
  </si>
  <si>
    <t>Park</t>
  </si>
  <si>
    <t>Pelota goma – Dobles Trinquete</t>
  </si>
  <si>
    <t>Pelota goma – Individual (Frontón)</t>
  </si>
  <si>
    <t>Frontenis -Dobles (Frontón)</t>
  </si>
  <si>
    <t>Frontball</t>
  </si>
  <si>
    <t>Relevos</t>
  </si>
  <si>
    <t>Relevos Mixtos</t>
  </si>
  <si>
    <t>Dobles Mixtos</t>
  </si>
  <si>
    <t>M1x</t>
  </si>
  <si>
    <t>M2x</t>
  </si>
  <si>
    <t>M4x</t>
  </si>
  <si>
    <t>M2-</t>
  </si>
  <si>
    <t>M4-</t>
  </si>
  <si>
    <t>LM2x</t>
  </si>
  <si>
    <t>W1x</t>
  </si>
  <si>
    <t>W2x</t>
  </si>
  <si>
    <t>W4x</t>
  </si>
  <si>
    <t>W2-</t>
  </si>
  <si>
    <t>W4-</t>
  </si>
  <si>
    <t>LW2x</t>
  </si>
  <si>
    <t>Mixto 8+</t>
  </si>
  <si>
    <t>Rugby 7</t>
  </si>
  <si>
    <t>Shortboard</t>
  </si>
  <si>
    <t>Sup Surf</t>
  </si>
  <si>
    <t>Sup Race</t>
  </si>
  <si>
    <t>Longboard</t>
  </si>
  <si>
    <t>M Kyorugi -58 Kg</t>
  </si>
  <si>
    <t>M Kyorugi -68 Kg</t>
  </si>
  <si>
    <t>M Kyorugi -80 Kg</t>
  </si>
  <si>
    <t>M Kyorugi +80 Kg</t>
  </si>
  <si>
    <t>F Kyorugi -49 Kg</t>
  </si>
  <si>
    <t>F Kyorugi -57 Kg</t>
  </si>
  <si>
    <t>F Kyorugi -67 Kg</t>
  </si>
  <si>
    <t>F Kyorugi +67 Kg</t>
  </si>
  <si>
    <t>Poomsae Tradicional Individual</t>
  </si>
  <si>
    <t>Poomsae Parejas Libres</t>
  </si>
  <si>
    <t>Recurvo Individual</t>
  </si>
  <si>
    <t>Individual Compuesto</t>
  </si>
  <si>
    <t>Equipo Recurvo</t>
  </si>
  <si>
    <t>Equipo Compuesto</t>
  </si>
  <si>
    <t>Equipo Recurvo Mixto</t>
  </si>
  <si>
    <t>Equipo Compuesto Mixto</t>
  </si>
  <si>
    <t>Rifle 50m 3 Posiciones</t>
  </si>
  <si>
    <t>10m Rifle De Aire</t>
  </si>
  <si>
    <t>10m Pistola De Aire</t>
  </si>
  <si>
    <t>25m Pistola De Fuego Rapido</t>
  </si>
  <si>
    <t>25m Pistola Deportiva</t>
  </si>
  <si>
    <t>Skeet</t>
  </si>
  <si>
    <t>Trap</t>
  </si>
  <si>
    <t>Mixto 10m Rifle De Aire</t>
  </si>
  <si>
    <t>Mixto 10m Pistola De Aire</t>
  </si>
  <si>
    <t>Mixto Skeet</t>
  </si>
  <si>
    <t>Tabla A Vela (Iqfoil)</t>
  </si>
  <si>
    <t>Bote (Ilca 7)</t>
  </si>
  <si>
    <t>Bote (Ilca 6)</t>
  </si>
  <si>
    <t>Bote (Sunfish)</t>
  </si>
  <si>
    <t>Skiff (49Er)</t>
  </si>
  <si>
    <t>Skiff (49Er Fx)</t>
  </si>
  <si>
    <t>Kite (Fomula Kite)</t>
  </si>
  <si>
    <t>Mixto Catamarán (Nacra 17)</t>
  </si>
  <si>
    <t>Mixto Bote (Snipe)</t>
  </si>
  <si>
    <t>Mixto Bote (Lightning)</t>
  </si>
  <si>
    <t>Vóleibol</t>
  </si>
  <si>
    <t>Vóleibol Playa</t>
  </si>
  <si>
    <t>Masculino</t>
  </si>
  <si>
    <t>Femenino</t>
  </si>
  <si>
    <t>English</t>
  </si>
  <si>
    <t>1m Trampoline</t>
  </si>
  <si>
    <t>3m Trampoline</t>
  </si>
  <si>
    <t>10m Platform</t>
  </si>
  <si>
    <t>Synchronized 3m Trampoline</t>
  </si>
  <si>
    <t>Synchronized 10m Platform</t>
  </si>
  <si>
    <t>50 m freestyle</t>
  </si>
  <si>
    <t>100 m freestyle</t>
  </si>
  <si>
    <t>200 m freestyle</t>
  </si>
  <si>
    <t>400 m freestyle</t>
  </si>
  <si>
    <t>800 m freestyle</t>
  </si>
  <si>
    <t>1,500 m freestyle</t>
  </si>
  <si>
    <t>100 m back</t>
  </si>
  <si>
    <t>200 m back</t>
  </si>
  <si>
    <t>100 m chest</t>
  </si>
  <si>
    <t>200 m chest</t>
  </si>
  <si>
    <t>100 m butterfly</t>
  </si>
  <si>
    <t>200 m butterfly</t>
  </si>
  <si>
    <t>200 m Combined individual</t>
  </si>
  <si>
    <t>400 m Combined individual</t>
  </si>
  <si>
    <t>4 x 100 m freestyle relay</t>
  </si>
  <si>
    <t>4 x 200 m freestyle relay</t>
  </si>
  <si>
    <t>4 x 100 m combined relay</t>
  </si>
  <si>
    <t>Mixed 4 x 100 m freestyle relay</t>
  </si>
  <si>
    <t>Mixed 4 x 100 m combined relay</t>
  </si>
  <si>
    <t>Team</t>
  </si>
  <si>
    <t>Doubles</t>
  </si>
  <si>
    <t>Waterpolo</t>
  </si>
  <si>
    <t>Open Water Swimming</t>
  </si>
  <si>
    <t>110 / 100 Hurdles</t>
  </si>
  <si>
    <t>400 hurdles</t>
  </si>
  <si>
    <t>3000 with obstacles</t>
  </si>
  <si>
    <t>High jump</t>
  </si>
  <si>
    <t>Long jump</t>
  </si>
  <si>
    <t>Triple jump</t>
  </si>
  <si>
    <t>Pole Vault</t>
  </si>
  <si>
    <t>Put Shot</t>
  </si>
  <si>
    <t>Discus throw</t>
  </si>
  <si>
    <t>Javelin throw</t>
  </si>
  <si>
    <t>Hammer throw</t>
  </si>
  <si>
    <t>20 km march</t>
  </si>
  <si>
    <t>Decathlon</t>
  </si>
  <si>
    <t>Heptathlon</t>
  </si>
  <si>
    <t>Mixed 35 km march</t>
  </si>
  <si>
    <t>Mixed 4x400m</t>
  </si>
  <si>
    <t>Mixed doubles</t>
  </si>
  <si>
    <t>Basketball</t>
  </si>
  <si>
    <t>Basketball 3x3</t>
  </si>
  <si>
    <t>Handball</t>
  </si>
  <si>
    <t>Baseball</t>
  </si>
  <si>
    <t>Softball</t>
  </si>
  <si>
    <t>Double</t>
  </si>
  <si>
    <t>Time Trial</t>
  </si>
  <si>
    <t>Road</t>
  </si>
  <si>
    <t>Racing</t>
  </si>
  <si>
    <t>Team Racing</t>
  </si>
  <si>
    <t>Team Pursuit</t>
  </si>
  <si>
    <t>Dressing Individual</t>
  </si>
  <si>
    <t>Dressing Team</t>
  </si>
  <si>
    <t>Eventing Individual</t>
  </si>
  <si>
    <t>Eventing Team</t>
  </si>
  <si>
    <t>Jumping Individual</t>
  </si>
  <si>
    <t>Jumping Team</t>
  </si>
  <si>
    <t>Speed</t>
  </si>
  <si>
    <t>Épée Individual</t>
  </si>
  <si>
    <t>Foil Individual</t>
  </si>
  <si>
    <t>Sabre Individual</t>
  </si>
  <si>
    <t>Épée Team</t>
  </si>
  <si>
    <t>Foil Team</t>
  </si>
  <si>
    <t>Sabre Team</t>
  </si>
  <si>
    <t>Figures</t>
  </si>
  <si>
    <t>Leap</t>
  </si>
  <si>
    <t>Football</t>
  </si>
  <si>
    <t>All Around</t>
  </si>
  <si>
    <t>Floor Excercise</t>
  </si>
  <si>
    <t>Pommel Horse</t>
  </si>
  <si>
    <t>Rings</t>
  </si>
  <si>
    <t>Vault</t>
  </si>
  <si>
    <t>Parallel bars</t>
  </si>
  <si>
    <t>Horizontal Bar</t>
  </si>
  <si>
    <t>Uneven bars</t>
  </si>
  <si>
    <t>Balance beam</t>
  </si>
  <si>
    <t>Hoop</t>
  </si>
  <si>
    <t>Ball</t>
  </si>
  <si>
    <t>Clubs</t>
  </si>
  <si>
    <t>Ribbon</t>
  </si>
  <si>
    <t>Groups All Round</t>
  </si>
  <si>
    <t>5 hoops</t>
  </si>
  <si>
    <t>3 ribbons / 2 balls</t>
  </si>
  <si>
    <t>Synchronized</t>
  </si>
  <si>
    <t>Field Hockey</t>
  </si>
  <si>
    <t>-60 Kg</t>
  </si>
  <si>
    <t>Mixed Team</t>
  </si>
  <si>
    <t>Grecoroman 60 Kg</t>
  </si>
  <si>
    <t>Grecoroman 67 Kg</t>
  </si>
  <si>
    <t>Grecoroman 77 Kg</t>
  </si>
  <si>
    <t>Grecoroman 87 Kg</t>
  </si>
  <si>
    <t>Grecoroman 97 Kg</t>
  </si>
  <si>
    <t>Grecoroman 130 Kg</t>
  </si>
  <si>
    <t>Freestyle M 57 Kg</t>
  </si>
  <si>
    <t>Freestyle M 65 Kg</t>
  </si>
  <si>
    <t>Freestyle M 74 Kg</t>
  </si>
  <si>
    <t>Freestyle M 86 Kg</t>
  </si>
  <si>
    <t>Freestyle M 97 Kg</t>
  </si>
  <si>
    <t>Freestyle M 125 Kg</t>
  </si>
  <si>
    <t>Freestyle F 50 Kg</t>
  </si>
  <si>
    <t>Freestyle F 53 Kg</t>
  </si>
  <si>
    <t>Freestyle F 57 Kg</t>
  </si>
  <si>
    <t>Freestyle F 62 Kg</t>
  </si>
  <si>
    <t>Freestyle F 68 Kg</t>
  </si>
  <si>
    <t>Freestyle F 76 Kg</t>
  </si>
  <si>
    <t>Freestyle</t>
  </si>
  <si>
    <t>200m time trial</t>
  </si>
  <si>
    <t>500m + distance</t>
  </si>
  <si>
    <t>10000m Elimination</t>
  </si>
  <si>
    <t>1000M sprint</t>
  </si>
  <si>
    <t>Trinquet Doubles</t>
  </si>
  <si>
    <t>Paleta Gomme</t>
  </si>
  <si>
    <t>Frontenis -Dobles (Fronton)</t>
  </si>
  <si>
    <t>Relay</t>
  </si>
  <si>
    <t>Mixed relay</t>
  </si>
  <si>
    <t>Mixed 8+</t>
  </si>
  <si>
    <t>Poomsae Traditional Individual</t>
  </si>
  <si>
    <t>Poomsae Freestyle Pairs</t>
  </si>
  <si>
    <t>Recurve Individual</t>
  </si>
  <si>
    <t>Compound Individual</t>
  </si>
  <si>
    <t>Recurve Team</t>
  </si>
  <si>
    <t>Compound Team</t>
  </si>
  <si>
    <t>Recurve Mixed</t>
  </si>
  <si>
    <t>Compund Mixed</t>
  </si>
  <si>
    <t xml:space="preserve">50m rifle 3 positions </t>
  </si>
  <si>
    <t>10m air rifle</t>
  </si>
  <si>
    <t>10m air pistol</t>
  </si>
  <si>
    <t>25m rapid fire pístol</t>
  </si>
  <si>
    <t>25m pistol</t>
  </si>
  <si>
    <t>Mixed 10m air rifle</t>
  </si>
  <si>
    <t>Mixed 10m air pistol</t>
  </si>
  <si>
    <t>Mixed Skeet</t>
  </si>
  <si>
    <t>Windsurfing (IQFOIL)</t>
  </si>
  <si>
    <t>Dinghy (Ilca 7)</t>
  </si>
  <si>
    <t>Dinghy (Ilca 6)</t>
  </si>
  <si>
    <t>Sunfish</t>
  </si>
  <si>
    <t>Skiff (49er)</t>
  </si>
  <si>
    <t>Skiff (49er Fx)</t>
  </si>
  <si>
    <t>Mixed Multihull (Nacra 17)</t>
  </si>
  <si>
    <t>Mixed Dinghy (snipe)</t>
  </si>
  <si>
    <t>Mixed Dinghy (lightning)</t>
  </si>
  <si>
    <t>Volleyball</t>
  </si>
  <si>
    <t>Beach Volleyball</t>
  </si>
  <si>
    <t>Male</t>
  </si>
  <si>
    <t>Female</t>
  </si>
  <si>
    <t>Apellido</t>
  </si>
  <si>
    <t>Nombre</t>
  </si>
  <si>
    <t>Evento Deportivo</t>
  </si>
  <si>
    <t>Eventos en los que participa</t>
  </si>
  <si>
    <t>Estatura</t>
  </si>
  <si>
    <t>Global Athlete License (GAL) XXX-0000</t>
  </si>
  <si>
    <t>Ranking Mundial Individual</t>
  </si>
  <si>
    <t>Ranking Mundial Individual por puntos</t>
  </si>
  <si>
    <t>Ranking Mundial por Equipos</t>
  </si>
  <si>
    <t>Ranking Mundial por Equipos por Puntos</t>
  </si>
  <si>
    <t>Ranking Mundial por Equipos Mixtos</t>
  </si>
  <si>
    <t>Ranking Mundial por Equipos Mixtos por Puntos</t>
  </si>
  <si>
    <t>Mejor marca Personal</t>
  </si>
  <si>
    <t>Torneo en que se logró la Mejor marca Personal</t>
  </si>
  <si>
    <t>Mejor marca de la Temporada</t>
  </si>
  <si>
    <t>Torneo en que se logró la Mejor marca de la Temporada</t>
  </si>
  <si>
    <t>Marca de Casificación</t>
  </si>
  <si>
    <t>Torneo en que se logró la marca de Clasificación</t>
  </si>
  <si>
    <t>Mano preferida / Postura preferida</t>
  </si>
  <si>
    <t>Color uniforme primario</t>
  </si>
  <si>
    <t>Color uniforme secundario</t>
  </si>
  <si>
    <t>Número en uniforme</t>
  </si>
  <si>
    <t>Nombre en uniforme</t>
  </si>
  <si>
    <t>Posición de juego</t>
  </si>
  <si>
    <t>Ranking Olímpico</t>
  </si>
  <si>
    <t>Capitan</t>
  </si>
  <si>
    <t>Nombre de club</t>
  </si>
  <si>
    <t>Liga del Club</t>
  </si>
  <si>
    <t>Participaciones internacionales</t>
  </si>
  <si>
    <t>Goles internacionales convertidos</t>
  </si>
  <si>
    <t>Color tercer uniforme</t>
  </si>
  <si>
    <t>Family Name</t>
  </si>
  <si>
    <t>Given Name</t>
  </si>
  <si>
    <t>Gender</t>
  </si>
  <si>
    <t>Sport Event</t>
  </si>
  <si>
    <t>events in which athlete is  participating</t>
  </si>
  <si>
    <t>Height</t>
  </si>
  <si>
    <t>World Rnk. Individual</t>
  </si>
  <si>
    <t>World Rnk. Individual Points</t>
  </si>
  <si>
    <t>World Rnk. Team</t>
  </si>
  <si>
    <t>World Rnk. Team Points</t>
  </si>
  <si>
    <t>World Rnk. Mixed Team</t>
  </si>
  <si>
    <t>World Rnk. Mixed Team Points</t>
  </si>
  <si>
    <t>Personal Best</t>
  </si>
  <si>
    <t>Personal Best Championship</t>
  </si>
  <si>
    <t>Season Best</t>
  </si>
  <si>
    <t>Season Best Championship</t>
  </si>
  <si>
    <t>Qualification Mark</t>
  </si>
  <si>
    <t>Qualification Mark Championship</t>
  </si>
  <si>
    <t>Preferred Hand/ Preferred Foot / Stance</t>
  </si>
  <si>
    <t>Uniform 1 Color</t>
  </si>
  <si>
    <t>Uniform 2 Color</t>
  </si>
  <si>
    <t>Uniform Number</t>
  </si>
  <si>
    <t>Uniform Name</t>
  </si>
  <si>
    <t>Playing Position</t>
  </si>
  <si>
    <t>Olympic Ranking</t>
  </si>
  <si>
    <t>Captain</t>
  </si>
  <si>
    <t>Club Name</t>
  </si>
  <si>
    <t>Club League</t>
  </si>
  <si>
    <t>International Games Played</t>
  </si>
  <si>
    <t>International Goals Scored</t>
  </si>
  <si>
    <t>Uniform 3 Color</t>
  </si>
  <si>
    <t>Tiro con Arco</t>
  </si>
  <si>
    <t>Patinaje Artístico</t>
  </si>
  <si>
    <t>Atletísmo</t>
  </si>
  <si>
    <t>Bádminton</t>
  </si>
  <si>
    <t>Boxeo</t>
  </si>
  <si>
    <t>Bowling</t>
  </si>
  <si>
    <t>Escalada Deportiva</t>
  </si>
  <si>
    <t>Ciclismo de Ruta</t>
  </si>
  <si>
    <t>Canotaje Slalom</t>
  </si>
  <si>
    <t>Canotaje Velocidad</t>
  </si>
  <si>
    <t>Ciclismo de Pista</t>
  </si>
  <si>
    <t>Clavados</t>
  </si>
  <si>
    <t>Ecuestres</t>
  </si>
  <si>
    <t>Esgrima</t>
  </si>
  <si>
    <t>Gimnasia Artística</t>
  </si>
  <si>
    <t>Gimnasia Rítmica</t>
  </si>
  <si>
    <t>Gimnasia Trampolín</t>
  </si>
  <si>
    <t>Judo</t>
  </si>
  <si>
    <t>Karate</t>
  </si>
  <si>
    <t>Pentatlón Moderno</t>
  </si>
  <si>
    <t>Ciclismo de Montaña</t>
  </si>
  <si>
    <t>Nado Aguas Abiertas</t>
  </si>
  <si>
    <t>Pelota Vasca</t>
  </si>
  <si>
    <t>Remo</t>
  </si>
  <si>
    <t>Ráquetbol</t>
  </si>
  <si>
    <t>Vela</t>
  </si>
  <si>
    <t>Tiro</t>
  </si>
  <si>
    <t>Skateboarding</t>
  </si>
  <si>
    <t>Squash</t>
  </si>
  <si>
    <t>Surf</t>
  </si>
  <si>
    <t>Patinaje Velocidad</t>
  </si>
  <si>
    <t>Natación Artística</t>
  </si>
  <si>
    <t>Natación</t>
  </si>
  <si>
    <t>Tenis</t>
  </si>
  <si>
    <t>Taekwondo</t>
  </si>
  <si>
    <t>Triatlón</t>
  </si>
  <si>
    <t>Tenis de Mesa</t>
  </si>
  <si>
    <t>Levantamiento de Pesas</t>
  </si>
  <si>
    <t>Polo Acuatico</t>
  </si>
  <si>
    <t>Lucha</t>
  </si>
  <si>
    <t>Esquí Acuático</t>
  </si>
  <si>
    <t>Datos Específicos para Sport Entries</t>
  </si>
  <si>
    <t>Datos del Atleta</t>
  </si>
  <si>
    <t>Archery</t>
  </si>
  <si>
    <t>Artistic Skating</t>
  </si>
  <si>
    <t>Athletics</t>
  </si>
  <si>
    <t>Badminton</t>
  </si>
  <si>
    <t>Boxing</t>
  </si>
  <si>
    <t>Sport Climbing</t>
  </si>
  <si>
    <t>Road Cycling</t>
  </si>
  <si>
    <t>Canoe Slalom</t>
  </si>
  <si>
    <t>Canoe Sprint</t>
  </si>
  <si>
    <t>Track Cycling</t>
  </si>
  <si>
    <t>Diving</t>
  </si>
  <si>
    <t>Equestrian</t>
  </si>
  <si>
    <t>Fencing</t>
  </si>
  <si>
    <t>Artistic Gymnastics</t>
  </si>
  <si>
    <t>Ryhtmic Gymnastics</t>
  </si>
  <si>
    <t>Trampoline Gymnastics</t>
  </si>
  <si>
    <t>Modern Pentathlon</t>
  </si>
  <si>
    <t>Mountain Bike</t>
  </si>
  <si>
    <t>Basque Pelota</t>
  </si>
  <si>
    <t>Rowing</t>
  </si>
  <si>
    <t>Racquetball</t>
  </si>
  <si>
    <t>Sailing</t>
  </si>
  <si>
    <t>Shooting</t>
  </si>
  <si>
    <t>Surfing</t>
  </si>
  <si>
    <t>Speed Skating</t>
  </si>
  <si>
    <t>Artistic Swimming</t>
  </si>
  <si>
    <t>Swimming</t>
  </si>
  <si>
    <t>Tennis</t>
  </si>
  <si>
    <t>Triathlon</t>
  </si>
  <si>
    <t>Table Tennis</t>
  </si>
  <si>
    <t>Weightlifting</t>
  </si>
  <si>
    <t>Wrestling</t>
  </si>
  <si>
    <t>Water Ski</t>
  </si>
  <si>
    <t>Sport Entries Form</t>
  </si>
  <si>
    <t>Athlete's Data</t>
  </si>
  <si>
    <t xml:space="preserve">#
</t>
  </si>
  <si>
    <r>
      <rPr>
        <rFont val="Arial Narrow"/>
        <b/>
        <color theme="1"/>
        <sz val="12.0"/>
      </rPr>
      <t>NOC Code</t>
    </r>
  </si>
  <si>
    <r>
      <rPr>
        <rFont val="Arial Narrow"/>
        <b/>
        <color theme="1"/>
        <sz val="12.0"/>
      </rPr>
      <t>WT Members</t>
    </r>
  </si>
  <si>
    <t>ARC</t>
  </si>
  <si>
    <t>ARS</t>
  </si>
  <si>
    <t>ATH</t>
  </si>
  <si>
    <t>BBL</t>
  </si>
  <si>
    <t>BDM</t>
  </si>
  <si>
    <t>BK3</t>
  </si>
  <si>
    <t>BKB</t>
  </si>
  <si>
    <t>BKG</t>
  </si>
  <si>
    <t>BMX</t>
  </si>
  <si>
    <t>BOX</t>
  </si>
  <si>
    <t>BWL</t>
  </si>
  <si>
    <t>CLB</t>
  </si>
  <si>
    <t>CRD</t>
  </si>
  <si>
    <t>CSL</t>
  </si>
  <si>
    <t>CSP</t>
  </si>
  <si>
    <t>CTR</t>
  </si>
  <si>
    <t>DIV</t>
  </si>
  <si>
    <t>EQU</t>
  </si>
  <si>
    <t>FBL</t>
  </si>
  <si>
    <t>FEN</t>
  </si>
  <si>
    <t>GAR</t>
  </si>
  <si>
    <t>GLF</t>
  </si>
  <si>
    <t>GRY</t>
  </si>
  <si>
    <t>GTR</t>
  </si>
  <si>
    <t>HBL</t>
  </si>
  <si>
    <t>HOC</t>
  </si>
  <si>
    <t>JUD</t>
  </si>
  <si>
    <t>KTE</t>
  </si>
  <si>
    <t>MPN</t>
  </si>
  <si>
    <t>MTB</t>
  </si>
  <si>
    <t>OWS</t>
  </si>
  <si>
    <t>PEL</t>
  </si>
  <si>
    <t>ROW</t>
  </si>
  <si>
    <t>RQL</t>
  </si>
  <si>
    <t>RUG</t>
  </si>
  <si>
    <t>SAL</t>
  </si>
  <si>
    <t>SBL</t>
  </si>
  <si>
    <t>SHO</t>
  </si>
  <si>
    <t>SKB</t>
  </si>
  <si>
    <t>SQU</t>
  </si>
  <si>
    <t>SRF</t>
  </si>
  <si>
    <t>SSK</t>
  </si>
  <si>
    <t>SWA</t>
  </si>
  <si>
    <t>SWM</t>
  </si>
  <si>
    <t>TEN</t>
  </si>
  <si>
    <t>TKW</t>
  </si>
  <si>
    <t>TRI</t>
  </si>
  <si>
    <t>TTE</t>
  </si>
  <si>
    <t>VBV</t>
  </si>
  <si>
    <t>VVO</t>
  </si>
  <si>
    <t>WLF</t>
  </si>
  <si>
    <t>WPO</t>
  </si>
  <si>
    <t>WRE</t>
  </si>
  <si>
    <t>WSK</t>
  </si>
  <si>
    <t>GENERO</t>
  </si>
  <si>
    <r>
      <rPr>
        <rFont val="Arial Narrow"/>
        <color rgb="FF131313"/>
        <sz val="12.0"/>
      </rPr>
      <t>AFG</t>
    </r>
  </si>
  <si>
    <r>
      <rPr>
        <rFont val="Arial Narrow"/>
        <color theme="1"/>
        <sz val="12.0"/>
      </rPr>
      <t>Afghanistan</t>
    </r>
  </si>
  <si>
    <r>
      <rPr>
        <rFont val="Arial Narrow"/>
        <color rgb="FF131313"/>
        <sz val="12.0"/>
      </rPr>
      <t>ALB</t>
    </r>
  </si>
  <si>
    <r>
      <rPr>
        <rFont val="Arial Narrow"/>
        <color theme="1"/>
        <sz val="12.0"/>
      </rPr>
      <t>Albania</t>
    </r>
  </si>
  <si>
    <t>-58kg</t>
  </si>
  <si>
    <r>
      <rPr>
        <rFont val="Arial Narrow"/>
        <color rgb="FF131313"/>
        <sz val="12.0"/>
      </rPr>
      <t>ALG</t>
    </r>
  </si>
  <si>
    <r>
      <rPr>
        <rFont val="Arial Narrow"/>
        <color theme="1"/>
        <sz val="12.0"/>
      </rPr>
      <t>Algeria</t>
    </r>
  </si>
  <si>
    <t>-68kg</t>
  </si>
  <si>
    <t>Kiorugui Individual</t>
  </si>
  <si>
    <r>
      <rPr>
        <rFont val="Arial Narrow"/>
        <color rgb="FF131313"/>
        <sz val="12.0"/>
      </rPr>
      <t>ASA</t>
    </r>
  </si>
  <si>
    <r>
      <rPr>
        <rFont val="Arial Narrow"/>
        <color theme="1"/>
        <sz val="12.0"/>
      </rPr>
      <t>American Samoa</t>
    </r>
  </si>
  <si>
    <t>-80kg</t>
  </si>
  <si>
    <t>Kiorugui Individual y Team</t>
  </si>
  <si>
    <r>
      <rPr>
        <rFont val="Arial Narrow"/>
        <color rgb="FF131313"/>
        <sz val="12.0"/>
      </rPr>
      <t>AND</t>
    </r>
  </si>
  <si>
    <r>
      <rPr>
        <rFont val="Arial Narrow"/>
        <color theme="1"/>
        <sz val="12.0"/>
      </rPr>
      <t>Andorra</t>
    </r>
  </si>
  <si>
    <t>+80kg</t>
  </si>
  <si>
    <t>Poomsae Individual</t>
  </si>
  <si>
    <r>
      <rPr>
        <rFont val="Arial Narrow"/>
        <color rgb="FF131313"/>
        <sz val="12.0"/>
      </rPr>
      <t>ANG</t>
    </r>
  </si>
  <si>
    <r>
      <rPr>
        <rFont val="Arial Narrow"/>
        <color theme="1"/>
        <sz val="12.0"/>
      </rPr>
      <t>Angola</t>
    </r>
  </si>
  <si>
    <t>-49kg</t>
  </si>
  <si>
    <t>Poomsae Individual y Parejas</t>
  </si>
  <si>
    <r>
      <rPr>
        <rFont val="Arial Narrow"/>
        <color rgb="FF131313"/>
        <sz val="12.0"/>
      </rPr>
      <t>ANT</t>
    </r>
  </si>
  <si>
    <r>
      <rPr>
        <rFont val="Arial Narrow"/>
        <color theme="1"/>
        <sz val="12.0"/>
      </rPr>
      <t>Antigua and Barbuda</t>
    </r>
  </si>
  <si>
    <t>-57kg</t>
  </si>
  <si>
    <r>
      <rPr>
        <rFont val="Arial Narrow"/>
        <color rgb="FF131313"/>
        <sz val="12.0"/>
      </rPr>
      <t>ARG</t>
    </r>
  </si>
  <si>
    <r>
      <rPr>
        <rFont val="Arial Narrow"/>
        <color theme="1"/>
        <sz val="12.0"/>
      </rPr>
      <t>Argentina</t>
    </r>
  </si>
  <si>
    <t>-67kg</t>
  </si>
  <si>
    <r>
      <rPr>
        <rFont val="Arial Narrow"/>
        <color rgb="FF131313"/>
        <sz val="12.0"/>
      </rPr>
      <t>ARM</t>
    </r>
  </si>
  <si>
    <r>
      <rPr>
        <rFont val="Arial Narrow"/>
        <color theme="1"/>
        <sz val="12.0"/>
      </rPr>
      <t>Armenia</t>
    </r>
  </si>
  <si>
    <t>+67kg</t>
  </si>
  <si>
    <r>
      <rPr>
        <rFont val="Arial Narrow"/>
        <color rgb="FF131313"/>
        <sz val="12.0"/>
      </rPr>
      <t>ARU</t>
    </r>
  </si>
  <si>
    <r>
      <rPr>
        <rFont val="Arial Narrow"/>
        <color theme="1"/>
        <sz val="12.0"/>
      </rPr>
      <t>Aruba</t>
    </r>
  </si>
  <si>
    <r>
      <rPr>
        <rFont val="Arial Narrow"/>
        <color rgb="FF131313"/>
        <sz val="12.0"/>
      </rPr>
      <t>AUS</t>
    </r>
  </si>
  <si>
    <r>
      <rPr>
        <rFont val="Arial Narrow"/>
        <color theme="1"/>
        <sz val="12.0"/>
      </rPr>
      <t>Australia</t>
    </r>
  </si>
  <si>
    <t>Team Masculino</t>
  </si>
  <si>
    <r>
      <rPr>
        <rFont val="Arial Narrow"/>
        <color rgb="FF131313"/>
        <sz val="12.0"/>
      </rPr>
      <t>AUT</t>
    </r>
  </si>
  <si>
    <r>
      <rPr>
        <rFont val="Arial Narrow"/>
        <color theme="1"/>
        <sz val="12.0"/>
      </rPr>
      <t>Austria</t>
    </r>
  </si>
  <si>
    <t>Team Femenino</t>
  </si>
  <si>
    <r>
      <rPr>
        <rFont val="Arial Narrow"/>
        <color rgb="FF131313"/>
        <sz val="12.0"/>
      </rPr>
      <t>AZE</t>
    </r>
  </si>
  <si>
    <r>
      <rPr>
        <rFont val="Arial Narrow"/>
        <color theme="1"/>
        <sz val="12.0"/>
      </rPr>
      <t>Azerbaijan</t>
    </r>
  </si>
  <si>
    <r>
      <rPr>
        <rFont val="Arial Narrow"/>
        <color rgb="FF131313"/>
        <sz val="12.0"/>
      </rPr>
      <t>BAH</t>
    </r>
  </si>
  <si>
    <r>
      <rPr>
        <rFont val="Arial Narrow"/>
        <color theme="1"/>
        <sz val="12.0"/>
      </rPr>
      <t>Bahamas</t>
    </r>
  </si>
  <si>
    <r>
      <rPr>
        <rFont val="Arial Narrow"/>
        <color rgb="FF131313"/>
        <sz val="12.0"/>
      </rPr>
      <t>BRN</t>
    </r>
  </si>
  <si>
    <r>
      <rPr>
        <rFont val="Arial Narrow"/>
        <color theme="1"/>
        <sz val="12.0"/>
      </rPr>
      <t>Bahrain</t>
    </r>
  </si>
  <si>
    <r>
      <rPr>
        <rFont val="Arial Narrow"/>
        <color rgb="FF131313"/>
        <sz val="12.0"/>
      </rPr>
      <t>BAN</t>
    </r>
  </si>
  <si>
    <r>
      <rPr>
        <rFont val="Arial Narrow"/>
        <color theme="1"/>
        <sz val="12.0"/>
      </rPr>
      <t>Bangladesh</t>
    </r>
  </si>
  <si>
    <r>
      <rPr>
        <rFont val="Arial Narrow"/>
        <color rgb="FF131313"/>
        <sz val="12.0"/>
      </rPr>
      <t>BAR</t>
    </r>
  </si>
  <si>
    <r>
      <rPr>
        <rFont val="Arial Narrow"/>
        <color theme="1"/>
        <sz val="12.0"/>
      </rPr>
      <t>Barbados</t>
    </r>
  </si>
  <si>
    <r>
      <rPr>
        <rFont val="Arial Narrow"/>
        <color rgb="FF131313"/>
        <sz val="12.0"/>
      </rPr>
      <t>BLR</t>
    </r>
  </si>
  <si>
    <r>
      <rPr>
        <rFont val="Arial Narrow"/>
        <color theme="1"/>
        <sz val="12.0"/>
      </rPr>
      <t>Belarus</t>
    </r>
  </si>
  <si>
    <r>
      <rPr>
        <rFont val="Arial Narrow"/>
        <color rgb="FF131313"/>
        <sz val="12.0"/>
      </rPr>
      <t>BEL</t>
    </r>
  </si>
  <si>
    <r>
      <rPr>
        <rFont val="Arial Narrow"/>
        <color theme="1"/>
        <sz val="12.0"/>
      </rPr>
      <t>Belgium</t>
    </r>
  </si>
  <si>
    <r>
      <rPr>
        <rFont val="Arial Narrow"/>
        <color rgb="FF131313"/>
        <sz val="12.0"/>
      </rPr>
      <t>BIZ</t>
    </r>
  </si>
  <si>
    <r>
      <rPr>
        <rFont val="Arial Narrow"/>
        <color theme="1"/>
        <sz val="12.0"/>
      </rPr>
      <t>Belize</t>
    </r>
  </si>
  <si>
    <r>
      <rPr>
        <rFont val="Arial Narrow"/>
        <color rgb="FF131313"/>
        <sz val="12.0"/>
      </rPr>
      <t>BEN</t>
    </r>
  </si>
  <si>
    <r>
      <rPr>
        <rFont val="Arial Narrow"/>
        <color theme="1"/>
        <sz val="12.0"/>
      </rPr>
      <t>Benin</t>
    </r>
  </si>
  <si>
    <r>
      <rPr>
        <rFont val="Arial Narrow"/>
        <color rgb="FF131313"/>
        <sz val="12.0"/>
      </rPr>
      <t>BER</t>
    </r>
  </si>
  <si>
    <r>
      <rPr>
        <rFont val="Arial Narrow"/>
        <color theme="1"/>
        <sz val="12.0"/>
      </rPr>
      <t>Bermuda</t>
    </r>
  </si>
  <si>
    <r>
      <rPr>
        <rFont val="Arial Narrow"/>
        <color rgb="FF131313"/>
        <sz val="12.0"/>
      </rPr>
      <t>BHU</t>
    </r>
  </si>
  <si>
    <r>
      <rPr>
        <rFont val="Arial Narrow"/>
        <color theme="1"/>
        <sz val="12.0"/>
      </rPr>
      <t>Bhutan</t>
    </r>
  </si>
  <si>
    <r>
      <rPr>
        <rFont val="Arial Narrow"/>
        <color rgb="FF131313"/>
        <sz val="12.0"/>
      </rPr>
      <t>BOL</t>
    </r>
  </si>
  <si>
    <r>
      <rPr>
        <rFont val="Arial Narrow"/>
        <color theme="1"/>
        <sz val="12.0"/>
      </rPr>
      <t>Bolivia</t>
    </r>
  </si>
  <si>
    <r>
      <rPr>
        <rFont val="Arial Narrow"/>
        <color rgb="FF131313"/>
        <sz val="12.0"/>
      </rPr>
      <t>BIH</t>
    </r>
  </si>
  <si>
    <r>
      <rPr>
        <rFont val="Arial Narrow"/>
        <color theme="1"/>
        <sz val="12.0"/>
      </rPr>
      <t>Bosnia and Herzegovina</t>
    </r>
  </si>
  <si>
    <r>
      <rPr>
        <rFont val="Arial Narrow"/>
        <color rgb="FF131313"/>
        <sz val="12.0"/>
      </rPr>
      <t>BOT</t>
    </r>
  </si>
  <si>
    <r>
      <rPr>
        <rFont val="Arial Narrow"/>
        <color theme="1"/>
        <sz val="12.0"/>
      </rPr>
      <t>Botswana</t>
    </r>
  </si>
  <si>
    <r>
      <rPr>
        <rFont val="Arial Narrow"/>
        <color rgb="FF131313"/>
        <sz val="12.0"/>
      </rPr>
      <t>BRA</t>
    </r>
  </si>
  <si>
    <r>
      <rPr>
        <rFont val="Arial Narrow"/>
        <color theme="1"/>
        <sz val="12.0"/>
      </rPr>
      <t>Brazil</t>
    </r>
  </si>
  <si>
    <r>
      <rPr>
        <rFont val="Arial Narrow"/>
        <color rgb="FF131313"/>
        <sz val="12.0"/>
      </rPr>
      <t>BRU</t>
    </r>
  </si>
  <si>
    <r>
      <rPr>
        <rFont val="Arial Narrow"/>
        <color theme="1"/>
        <sz val="12.0"/>
      </rPr>
      <t>Brunei Darussalam</t>
    </r>
  </si>
  <si>
    <r>
      <rPr>
        <rFont val="Arial Narrow"/>
        <color rgb="FF131313"/>
        <sz val="12.0"/>
      </rPr>
      <t>BUL</t>
    </r>
  </si>
  <si>
    <r>
      <rPr>
        <rFont val="Arial Narrow"/>
        <color theme="1"/>
        <sz val="12.0"/>
      </rPr>
      <t>Bulgaria</t>
    </r>
  </si>
  <si>
    <r>
      <rPr>
        <rFont val="Arial Narrow"/>
        <color rgb="FF131313"/>
        <sz val="12.0"/>
      </rPr>
      <t>BUR</t>
    </r>
  </si>
  <si>
    <r>
      <rPr>
        <rFont val="Arial Narrow"/>
        <color theme="1"/>
        <sz val="12.0"/>
      </rPr>
      <t>Burkina Faso</t>
    </r>
  </si>
  <si>
    <r>
      <rPr>
        <rFont val="Arial Narrow"/>
        <color rgb="FF131313"/>
        <sz val="12.0"/>
      </rPr>
      <t>BDI</t>
    </r>
  </si>
  <si>
    <r>
      <rPr>
        <rFont val="Arial Narrow"/>
        <color theme="1"/>
        <sz val="12.0"/>
      </rPr>
      <t>Burundi</t>
    </r>
  </si>
  <si>
    <r>
      <rPr>
        <rFont val="Arial Narrow"/>
        <color rgb="FF131313"/>
        <sz val="12.0"/>
      </rPr>
      <t>CAM</t>
    </r>
  </si>
  <si>
    <r>
      <rPr>
        <rFont val="Arial Narrow"/>
        <color theme="1"/>
        <sz val="12.0"/>
      </rPr>
      <t>Cambodia</t>
    </r>
  </si>
  <si>
    <r>
      <rPr>
        <rFont val="Arial Narrow"/>
        <color rgb="FF131313"/>
        <sz val="12.0"/>
      </rPr>
      <t>CMR</t>
    </r>
  </si>
  <si>
    <r>
      <rPr>
        <rFont val="Arial Narrow"/>
        <color theme="1"/>
        <sz val="12.0"/>
      </rPr>
      <t>Cameroon</t>
    </r>
  </si>
  <si>
    <r>
      <rPr>
        <rFont val="Arial Narrow"/>
        <color rgb="FF131313"/>
        <sz val="12.0"/>
      </rPr>
      <t>CAN</t>
    </r>
  </si>
  <si>
    <r>
      <rPr>
        <rFont val="Arial Narrow"/>
        <color theme="1"/>
        <sz val="12.0"/>
      </rPr>
      <t>Canada</t>
    </r>
  </si>
  <si>
    <r>
      <rPr>
        <rFont val="Arial Narrow"/>
        <color rgb="FF131313"/>
        <sz val="12.0"/>
      </rPr>
      <t>CPV</t>
    </r>
  </si>
  <si>
    <r>
      <rPr>
        <rFont val="Arial Narrow"/>
        <color theme="1"/>
        <sz val="12.0"/>
      </rPr>
      <t>Cape Verde</t>
    </r>
  </si>
  <si>
    <r>
      <rPr>
        <rFont val="Arial Narrow"/>
        <color rgb="FF131313"/>
        <sz val="12.0"/>
      </rPr>
      <t>CAY</t>
    </r>
  </si>
  <si>
    <r>
      <rPr>
        <rFont val="Arial Narrow"/>
        <color theme="1"/>
        <sz val="12.0"/>
      </rPr>
      <t>Cayman Islands</t>
    </r>
  </si>
  <si>
    <r>
      <rPr>
        <rFont val="Arial Narrow"/>
        <color rgb="FF131313"/>
        <sz val="12.0"/>
      </rPr>
      <t>CAF</t>
    </r>
  </si>
  <si>
    <r>
      <rPr>
        <rFont val="Arial Narrow"/>
        <color theme="1"/>
        <sz val="12.0"/>
      </rPr>
      <t>Central African Republic</t>
    </r>
  </si>
  <si>
    <r>
      <rPr>
        <rFont val="Arial Narrow"/>
        <color rgb="FF131313"/>
        <sz val="12.0"/>
      </rPr>
      <t>CHA</t>
    </r>
  </si>
  <si>
    <r>
      <rPr>
        <rFont val="Arial Narrow"/>
        <color theme="1"/>
        <sz val="12.0"/>
      </rPr>
      <t>Chad</t>
    </r>
  </si>
  <si>
    <r>
      <rPr>
        <rFont val="Arial Narrow"/>
        <color rgb="FF131313"/>
        <sz val="12.0"/>
      </rPr>
      <t>CHI</t>
    </r>
  </si>
  <si>
    <r>
      <rPr>
        <rFont val="Arial Narrow"/>
        <color theme="1"/>
        <sz val="12.0"/>
      </rPr>
      <t>Chile</t>
    </r>
  </si>
  <si>
    <r>
      <rPr>
        <rFont val="Arial Narrow"/>
        <color rgb="FF131313"/>
        <sz val="12.0"/>
      </rPr>
      <t>TPE</t>
    </r>
  </si>
  <si>
    <r>
      <rPr>
        <rFont val="Arial Narrow"/>
        <color theme="1"/>
        <sz val="12.0"/>
      </rPr>
      <t>Chinese Taipei</t>
    </r>
  </si>
  <si>
    <r>
      <rPr>
        <rFont val="Arial Narrow"/>
        <color rgb="FF131313"/>
        <sz val="12.0"/>
      </rPr>
      <t>COL</t>
    </r>
  </si>
  <si>
    <r>
      <rPr>
        <rFont val="Arial Narrow"/>
        <color theme="1"/>
        <sz val="12.0"/>
      </rPr>
      <t>Colombia</t>
    </r>
  </si>
  <si>
    <r>
      <rPr>
        <rFont val="Arial Narrow"/>
        <color rgb="FF131313"/>
        <sz val="12.0"/>
      </rPr>
      <t>COM</t>
    </r>
  </si>
  <si>
    <r>
      <rPr>
        <rFont val="Arial Narrow"/>
        <color theme="1"/>
        <sz val="12.0"/>
      </rPr>
      <t>Comoros</t>
    </r>
  </si>
  <si>
    <r>
      <rPr>
        <rFont val="Arial Narrow"/>
        <color rgb="FF131313"/>
        <sz val="12.0"/>
      </rPr>
      <t>CGO</t>
    </r>
  </si>
  <si>
    <r>
      <rPr>
        <rFont val="Arial Narrow"/>
        <color theme="1"/>
        <sz val="12.0"/>
      </rPr>
      <t>Congo</t>
    </r>
  </si>
  <si>
    <r>
      <rPr>
        <rFont val="Arial Narrow"/>
        <color rgb="FF131313"/>
        <sz val="12.0"/>
      </rPr>
      <t>COK</t>
    </r>
  </si>
  <si>
    <r>
      <rPr>
        <rFont val="Arial Narrow"/>
        <color theme="1"/>
        <sz val="12.0"/>
      </rPr>
      <t>Cook Islands</t>
    </r>
  </si>
  <si>
    <r>
      <rPr>
        <rFont val="Arial Narrow"/>
        <color rgb="FF131313"/>
        <sz val="12.0"/>
      </rPr>
      <t>CRC</t>
    </r>
  </si>
  <si>
    <r>
      <rPr>
        <rFont val="Arial Narrow"/>
        <color theme="1"/>
        <sz val="12.0"/>
      </rPr>
      <t>Costa Rica</t>
    </r>
  </si>
  <si>
    <r>
      <rPr>
        <rFont val="Arial Narrow"/>
        <color rgb="FF131313"/>
        <sz val="12.0"/>
      </rPr>
      <t>CIV</t>
    </r>
  </si>
  <si>
    <r>
      <rPr>
        <rFont val="Arial Narrow"/>
        <color theme="1"/>
        <sz val="12.0"/>
      </rPr>
      <t>Côte D’Ivoire</t>
    </r>
  </si>
  <si>
    <r>
      <rPr>
        <rFont val="Arial Narrow"/>
        <color rgb="FF131313"/>
        <sz val="12.0"/>
      </rPr>
      <t>CRO</t>
    </r>
  </si>
  <si>
    <r>
      <rPr>
        <rFont val="Arial Narrow"/>
        <color theme="1"/>
        <sz val="12.0"/>
      </rPr>
      <t>Croatia</t>
    </r>
  </si>
  <si>
    <r>
      <rPr>
        <rFont val="Arial Narrow"/>
        <color theme="1"/>
        <sz val="12.0"/>
      </rPr>
      <t>CUB</t>
    </r>
  </si>
  <si>
    <r>
      <rPr>
        <rFont val="Arial Narrow"/>
        <color theme="1"/>
        <sz val="12.0"/>
      </rPr>
      <t>Cuba</t>
    </r>
  </si>
  <si>
    <r>
      <rPr>
        <rFont val="Arial Narrow"/>
        <color rgb="FF131313"/>
        <sz val="12.0"/>
      </rPr>
      <t>CYP</t>
    </r>
  </si>
  <si>
    <r>
      <rPr>
        <rFont val="Arial Narrow"/>
        <color theme="1"/>
        <sz val="12.0"/>
      </rPr>
      <t>Cyprus</t>
    </r>
  </si>
  <si>
    <r>
      <rPr>
        <rFont val="Arial Narrow"/>
        <color rgb="FF131313"/>
        <sz val="12.0"/>
      </rPr>
      <t>CZE</t>
    </r>
  </si>
  <si>
    <r>
      <rPr>
        <rFont val="Arial Narrow"/>
        <color theme="1"/>
        <sz val="12.0"/>
      </rPr>
      <t>Czech Republic</t>
    </r>
  </si>
  <si>
    <r>
      <rPr>
        <rFont val="Arial Narrow"/>
        <color rgb="FF131313"/>
        <sz val="12.0"/>
      </rPr>
      <t>PRK</t>
    </r>
  </si>
  <si>
    <r>
      <rPr>
        <rFont val="Arial Narrow"/>
        <b/>
        <color theme="1"/>
        <sz val="12.0"/>
      </rPr>
      <t>N/a</t>
    </r>
  </si>
  <si>
    <r>
      <rPr>
        <rFont val="Arial Narrow"/>
        <color theme="1"/>
        <sz val="12.0"/>
      </rPr>
      <t>COD</t>
    </r>
  </si>
  <si>
    <r>
      <rPr>
        <rFont val="Arial Narrow"/>
        <color theme="1"/>
        <sz val="12.0"/>
      </rPr>
      <t>DR Congo</t>
    </r>
  </si>
  <si>
    <r>
      <rPr>
        <rFont val="Arial Narrow"/>
        <color rgb="FF131313"/>
        <sz val="12.0"/>
      </rPr>
      <t>DEN</t>
    </r>
  </si>
  <si>
    <r>
      <rPr>
        <rFont val="Arial Narrow"/>
        <color theme="1"/>
        <sz val="12.0"/>
      </rPr>
      <t>Denmark</t>
    </r>
  </si>
  <si>
    <r>
      <rPr>
        <rFont val="Arial Narrow"/>
        <color rgb="FF131313"/>
        <sz val="12.0"/>
      </rPr>
      <t>DJI</t>
    </r>
  </si>
  <si>
    <r>
      <rPr>
        <rFont val="Arial Narrow"/>
        <color theme="1"/>
        <sz val="12.0"/>
      </rPr>
      <t>Djibouti</t>
    </r>
  </si>
  <si>
    <r>
      <rPr>
        <rFont val="Arial Narrow"/>
        <color rgb="FF131313"/>
        <sz val="12.0"/>
      </rPr>
      <t>DOM</t>
    </r>
  </si>
  <si>
    <r>
      <rPr>
        <rFont val="Arial Narrow"/>
        <color theme="1"/>
        <sz val="12.0"/>
      </rPr>
      <t>Dominican Republic</t>
    </r>
  </si>
  <si>
    <r>
      <rPr>
        <rFont val="Arial Narrow"/>
        <color rgb="FF131313"/>
        <sz val="12.0"/>
      </rPr>
      <t>DMA</t>
    </r>
  </si>
  <si>
    <r>
      <rPr>
        <rFont val="Arial Narrow"/>
        <color theme="1"/>
        <sz val="12.0"/>
      </rPr>
      <t>Dominique</t>
    </r>
  </si>
  <si>
    <r>
      <rPr>
        <rFont val="Arial Narrow"/>
        <color rgb="FF131313"/>
        <sz val="12.0"/>
      </rPr>
      <t>ECU</t>
    </r>
  </si>
  <si>
    <r>
      <rPr>
        <rFont val="Arial Narrow"/>
        <color theme="1"/>
        <sz val="12.0"/>
      </rPr>
      <t>Ecuador</t>
    </r>
  </si>
  <si>
    <r>
      <rPr>
        <rFont val="Arial Narrow"/>
        <color rgb="FF131313"/>
        <sz val="12.0"/>
      </rPr>
      <t>EGY</t>
    </r>
  </si>
  <si>
    <r>
      <rPr>
        <rFont val="Arial Narrow"/>
        <color theme="1"/>
        <sz val="12.0"/>
      </rPr>
      <t>Egypt</t>
    </r>
  </si>
  <si>
    <r>
      <rPr>
        <rFont val="Arial Narrow"/>
        <color rgb="FF131313"/>
        <sz val="12.0"/>
      </rPr>
      <t>ESA</t>
    </r>
  </si>
  <si>
    <r>
      <rPr>
        <rFont val="Arial Narrow"/>
        <color theme="1"/>
        <sz val="12.0"/>
      </rPr>
      <t>El Salvador</t>
    </r>
  </si>
  <si>
    <r>
      <rPr>
        <rFont val="Arial Narrow"/>
        <color rgb="FF131313"/>
        <sz val="12.0"/>
      </rPr>
      <t>GEQ</t>
    </r>
  </si>
  <si>
    <r>
      <rPr>
        <rFont val="Arial Narrow"/>
        <color theme="1"/>
        <sz val="12.0"/>
      </rPr>
      <t>Equatorial Guinea</t>
    </r>
  </si>
  <si>
    <r>
      <rPr>
        <rFont val="Arial Narrow"/>
        <color rgb="FF131313"/>
        <sz val="12.0"/>
      </rPr>
      <t>ERI</t>
    </r>
  </si>
  <si>
    <r>
      <rPr>
        <rFont val="Arial Narrow"/>
        <b/>
        <color theme="1"/>
        <sz val="12.0"/>
      </rPr>
      <t>N/a</t>
    </r>
  </si>
  <si>
    <r>
      <rPr>
        <rFont val="Arial Narrow"/>
        <color rgb="FF131313"/>
        <sz val="12.0"/>
      </rPr>
      <t>EST</t>
    </r>
  </si>
  <si>
    <r>
      <rPr>
        <rFont val="Arial Narrow"/>
        <color theme="1"/>
        <sz val="12.0"/>
      </rPr>
      <t>Estonia</t>
    </r>
  </si>
  <si>
    <r>
      <rPr>
        <rFont val="Arial Narrow"/>
        <color rgb="FF131313"/>
        <sz val="12.0"/>
      </rPr>
      <t>ETH</t>
    </r>
  </si>
  <si>
    <r>
      <rPr>
        <rFont val="Arial Narrow"/>
        <color theme="1"/>
        <sz val="12.0"/>
      </rPr>
      <t>Ethiopia</t>
    </r>
  </si>
  <si>
    <r>
      <rPr>
        <rFont val="Arial Narrow"/>
        <color rgb="FF131313"/>
        <sz val="12.0"/>
      </rPr>
      <t>DEN</t>
    </r>
    <r>
      <rPr>
        <rFont val="Arial Narrow"/>
        <color rgb="FF131313"/>
        <sz val="8.0"/>
        <vertAlign val="superscript"/>
      </rPr>
      <t>2</t>
    </r>
  </si>
  <si>
    <r>
      <rPr>
        <rFont val="Arial Narrow"/>
        <color theme="1"/>
        <sz val="12.0"/>
      </rPr>
      <t>Faroe Island (FRO)</t>
    </r>
  </si>
  <si>
    <r>
      <rPr>
        <rFont val="Arial Narrow"/>
        <color rgb="FF131313"/>
        <sz val="12.0"/>
      </rPr>
      <t>FSM</t>
    </r>
  </si>
  <si>
    <r>
      <rPr>
        <rFont val="Arial Narrow"/>
        <color theme="1"/>
        <sz val="12.0"/>
      </rPr>
      <t>Micronesia</t>
    </r>
  </si>
  <si>
    <r>
      <rPr>
        <rFont val="Arial Narrow"/>
        <color rgb="FF131313"/>
        <sz val="12.0"/>
      </rPr>
      <t>FIJ</t>
    </r>
  </si>
  <si>
    <r>
      <rPr>
        <rFont val="Arial Narrow"/>
        <color theme="1"/>
        <sz val="12.0"/>
      </rPr>
      <t>Fiji Islands</t>
    </r>
  </si>
  <si>
    <r>
      <rPr>
        <rFont val="Arial Narrow"/>
        <color rgb="FF131313"/>
        <sz val="12.0"/>
      </rPr>
      <t>FIN</t>
    </r>
  </si>
  <si>
    <r>
      <rPr>
        <rFont val="Arial Narrow"/>
        <color theme="1"/>
        <sz val="12.0"/>
      </rPr>
      <t>Finland</t>
    </r>
  </si>
  <si>
    <r>
      <rPr>
        <rFont val="Arial Narrow"/>
        <color rgb="FF131313"/>
        <sz val="12.0"/>
      </rPr>
      <t>FRA</t>
    </r>
  </si>
  <si>
    <r>
      <rPr>
        <rFont val="Arial Narrow"/>
        <color theme="1"/>
        <sz val="12.0"/>
      </rPr>
      <t>France</t>
    </r>
  </si>
  <si>
    <r>
      <rPr>
        <rFont val="Arial Narrow"/>
        <color rgb="FF131313"/>
        <sz val="12.0"/>
      </rPr>
      <t>FRA</t>
    </r>
    <r>
      <rPr>
        <rFont val="Arial Narrow"/>
        <color rgb="FF131313"/>
        <sz val="8.0"/>
        <vertAlign val="superscript"/>
      </rPr>
      <t>3</t>
    </r>
  </si>
  <si>
    <r>
      <rPr>
        <rFont val="Arial Narrow"/>
        <color theme="1"/>
        <sz val="12.0"/>
      </rPr>
      <t>French Guiana (FGT)</t>
    </r>
  </si>
  <si>
    <r>
      <rPr>
        <rFont val="Arial Narrow"/>
        <color rgb="FF131313"/>
        <sz val="12.0"/>
      </rPr>
      <t>FRA</t>
    </r>
    <r>
      <rPr>
        <rFont val="Arial Narrow"/>
        <color rgb="FF131313"/>
        <sz val="8.0"/>
        <vertAlign val="superscript"/>
      </rPr>
      <t>4</t>
    </r>
  </si>
  <si>
    <r>
      <rPr>
        <rFont val="Arial Narrow"/>
        <color theme="1"/>
        <sz val="12.0"/>
      </rPr>
      <t>French Polynesia (FPO)</t>
    </r>
  </si>
  <si>
    <r>
      <rPr>
        <rFont val="Arial Narrow"/>
        <color rgb="FF131313"/>
        <sz val="12.0"/>
      </rPr>
      <t>GAB</t>
    </r>
  </si>
  <si>
    <r>
      <rPr>
        <rFont val="Arial Narrow"/>
        <color theme="1"/>
        <sz val="12.0"/>
      </rPr>
      <t>Gabon</t>
    </r>
  </si>
  <si>
    <r>
      <rPr>
        <rFont val="Arial Narrow"/>
        <color theme="1"/>
        <sz val="12.0"/>
      </rPr>
      <t>GAM</t>
    </r>
  </si>
  <si>
    <r>
      <rPr>
        <rFont val="Arial Narrow"/>
        <color theme="1"/>
        <sz val="12.0"/>
      </rPr>
      <t>Gambia</t>
    </r>
  </si>
  <si>
    <r>
      <rPr>
        <rFont val="Arial Narrow"/>
        <color rgb="FF131313"/>
        <sz val="12.0"/>
      </rPr>
      <t>GEO</t>
    </r>
  </si>
  <si>
    <r>
      <rPr>
        <rFont val="Arial Narrow"/>
        <color theme="1"/>
        <sz val="12.0"/>
      </rPr>
      <t>Georgia</t>
    </r>
  </si>
  <si>
    <r>
      <rPr>
        <rFont val="Arial Narrow"/>
        <color rgb="FF131313"/>
        <sz val="12.0"/>
      </rPr>
      <t>GER</t>
    </r>
  </si>
  <si>
    <r>
      <rPr>
        <rFont val="Arial Narrow"/>
        <color theme="1"/>
        <sz val="12.0"/>
      </rPr>
      <t>Germany</t>
    </r>
  </si>
  <si>
    <r>
      <rPr>
        <rFont val="Arial Narrow"/>
        <color rgb="FF131313"/>
        <sz val="12.0"/>
      </rPr>
      <t>GHA</t>
    </r>
  </si>
  <si>
    <r>
      <rPr>
        <rFont val="Arial Narrow"/>
        <color theme="1"/>
        <sz val="12.0"/>
      </rPr>
      <t>Ghana</t>
    </r>
  </si>
  <si>
    <r>
      <rPr>
        <rFont val="Arial Narrow"/>
        <color rgb="FF131313"/>
        <sz val="12.0"/>
      </rPr>
      <t>GBR</t>
    </r>
  </si>
  <si>
    <r>
      <rPr>
        <rFont val="Arial Narrow"/>
        <color theme="1"/>
        <sz val="12.0"/>
      </rPr>
      <t>Great Britain</t>
    </r>
  </si>
  <si>
    <r>
      <rPr>
        <rFont val="Arial Narrow"/>
        <color rgb="FF131313"/>
        <sz val="12.0"/>
      </rPr>
      <t>GRE</t>
    </r>
  </si>
  <si>
    <r>
      <rPr>
        <rFont val="Arial Narrow"/>
        <color theme="1"/>
        <sz val="12.0"/>
      </rPr>
      <t>Greece</t>
    </r>
  </si>
  <si>
    <r>
      <rPr>
        <rFont val="Arial Narrow"/>
        <color rgb="FF131313"/>
        <sz val="12.0"/>
      </rPr>
      <t>GRN</t>
    </r>
  </si>
  <si>
    <r>
      <rPr>
        <rFont val="Arial Narrow"/>
        <color theme="1"/>
        <sz val="12.0"/>
      </rPr>
      <t>Grenada</t>
    </r>
  </si>
  <si>
    <r>
      <rPr>
        <rFont val="Arial Narrow"/>
        <color rgb="FF131313"/>
        <sz val="12.0"/>
      </rPr>
      <t>FRA</t>
    </r>
    <r>
      <rPr>
        <rFont val="Arial Narrow"/>
        <color rgb="FF131313"/>
        <sz val="8.0"/>
        <vertAlign val="superscript"/>
      </rPr>
      <t>5</t>
    </r>
  </si>
  <si>
    <r>
      <rPr>
        <rFont val="Arial Narrow"/>
        <color theme="1"/>
        <sz val="12.0"/>
      </rPr>
      <t>Guadeloupe (GDL)</t>
    </r>
  </si>
  <si>
    <r>
      <rPr>
        <rFont val="Arial Narrow"/>
        <color rgb="FF131313"/>
        <sz val="12.0"/>
      </rPr>
      <t>GUM</t>
    </r>
  </si>
  <si>
    <r>
      <rPr>
        <rFont val="Arial Narrow"/>
        <color theme="1"/>
        <sz val="12.0"/>
      </rPr>
      <t>Guam</t>
    </r>
  </si>
  <si>
    <r>
      <rPr>
        <rFont val="Arial Narrow"/>
        <color rgb="FF131313"/>
        <sz val="12.0"/>
      </rPr>
      <t>GUA</t>
    </r>
  </si>
  <si>
    <r>
      <rPr>
        <rFont val="Arial Narrow"/>
        <color theme="1"/>
        <sz val="12.0"/>
      </rPr>
      <t>Guatemala</t>
    </r>
  </si>
  <si>
    <r>
      <rPr>
        <rFont val="Arial Narrow"/>
        <color rgb="FF131313"/>
        <sz val="12.0"/>
      </rPr>
      <t>GUI</t>
    </r>
  </si>
  <si>
    <r>
      <rPr>
        <rFont val="Arial Narrow"/>
        <color theme="1"/>
        <sz val="12.0"/>
      </rPr>
      <t>Guinea</t>
    </r>
  </si>
  <si>
    <r>
      <rPr>
        <rFont val="Arial Narrow"/>
        <color rgb="FF131313"/>
        <sz val="12.0"/>
      </rPr>
      <t>GBS</t>
    </r>
  </si>
  <si>
    <r>
      <rPr>
        <rFont val="Arial Narrow"/>
        <color theme="1"/>
        <sz val="12.0"/>
      </rPr>
      <t>Guinea-Bissau</t>
    </r>
  </si>
  <si>
    <r>
      <rPr>
        <rFont val="Arial Narrow"/>
        <color rgb="FF131313"/>
        <sz val="12.0"/>
      </rPr>
      <t>GUY</t>
    </r>
  </si>
  <si>
    <r>
      <rPr>
        <rFont val="Arial Narrow"/>
        <color theme="1"/>
        <sz val="12.0"/>
      </rPr>
      <t>Guyana</t>
    </r>
  </si>
  <si>
    <r>
      <rPr>
        <rFont val="Arial Narrow"/>
        <color rgb="FF131313"/>
        <sz val="12.0"/>
      </rPr>
      <t>HAI</t>
    </r>
  </si>
  <si>
    <r>
      <rPr>
        <rFont val="Arial Narrow"/>
        <color theme="1"/>
        <sz val="12.0"/>
      </rPr>
      <t>Haiti</t>
    </r>
  </si>
  <si>
    <r>
      <rPr>
        <rFont val="Arial Narrow"/>
        <color rgb="FF131313"/>
        <sz val="12.0"/>
      </rPr>
      <t>HON</t>
    </r>
  </si>
  <si>
    <r>
      <rPr>
        <rFont val="Arial Narrow"/>
        <color theme="1"/>
        <sz val="12.0"/>
      </rPr>
      <t>Honduras</t>
    </r>
  </si>
  <si>
    <r>
      <rPr>
        <rFont val="Arial Narrow"/>
        <color rgb="FF131313"/>
        <sz val="12.0"/>
      </rPr>
      <t>HKG</t>
    </r>
  </si>
  <si>
    <r>
      <rPr>
        <rFont val="Arial Narrow"/>
        <color theme="1"/>
        <sz val="12.0"/>
      </rPr>
      <t>Hong-Kong</t>
    </r>
  </si>
  <si>
    <r>
      <rPr>
        <rFont val="Arial Narrow"/>
        <color rgb="FF131313"/>
        <sz val="12.0"/>
      </rPr>
      <t>HUN</t>
    </r>
  </si>
  <si>
    <r>
      <rPr>
        <rFont val="Arial Narrow"/>
        <color theme="1"/>
        <sz val="12.0"/>
      </rPr>
      <t>Hungary</t>
    </r>
  </si>
  <si>
    <r>
      <rPr>
        <rFont val="Arial Narrow"/>
        <color rgb="FF131313"/>
        <sz val="12.0"/>
      </rPr>
      <t>ISL</t>
    </r>
  </si>
  <si>
    <r>
      <rPr>
        <rFont val="Arial Narrow"/>
        <color theme="1"/>
        <sz val="12.0"/>
      </rPr>
      <t>Iceland</t>
    </r>
  </si>
  <si>
    <r>
      <rPr>
        <rFont val="Arial Narrow"/>
        <color rgb="FF131313"/>
        <sz val="12.0"/>
      </rPr>
      <t>GBR</t>
    </r>
  </si>
  <si>
    <r>
      <rPr>
        <rFont val="Arial Narrow"/>
        <color rgb="FF000000"/>
        <sz val="12.0"/>
      </rPr>
      <t>Isle of Man</t>
    </r>
    <r>
      <rPr>
        <rFont val="Arial Narrow"/>
        <color rgb="FF000000"/>
        <sz val="8.0"/>
        <vertAlign val="superscript"/>
      </rPr>
      <t xml:space="preserve">6  </t>
    </r>
    <r>
      <rPr>
        <rFont val="Arial Narrow"/>
        <color rgb="FF000000"/>
        <sz val="12.0"/>
      </rPr>
      <t>(IMN)</t>
    </r>
  </si>
  <si>
    <r>
      <rPr>
        <rFont val="Arial Narrow"/>
        <color rgb="FF131313"/>
        <sz val="12.0"/>
      </rPr>
      <t>IND</t>
    </r>
  </si>
  <si>
    <r>
      <rPr>
        <rFont val="Arial Narrow"/>
        <color theme="1"/>
        <sz val="12.0"/>
      </rPr>
      <t>India</t>
    </r>
  </si>
  <si>
    <r>
      <rPr>
        <rFont val="Arial Narrow"/>
        <color rgb="FF131313"/>
        <sz val="12.0"/>
      </rPr>
      <t>INA</t>
    </r>
  </si>
  <si>
    <r>
      <rPr>
        <rFont val="Arial Narrow"/>
        <color theme="1"/>
        <sz val="12.0"/>
      </rPr>
      <t>Indonesia</t>
    </r>
  </si>
  <si>
    <r>
      <rPr>
        <rFont val="Arial Narrow"/>
        <color rgb="FF131313"/>
        <sz val="12.0"/>
      </rPr>
      <t>IRQ</t>
    </r>
  </si>
  <si>
    <r>
      <rPr>
        <rFont val="Arial Narrow"/>
        <color theme="1"/>
        <sz val="12.0"/>
      </rPr>
      <t>Iraq</t>
    </r>
  </si>
  <si>
    <r>
      <rPr>
        <rFont val="Arial Narrow"/>
        <color rgb="FF131313"/>
        <sz val="12.0"/>
      </rPr>
      <t>IRL</t>
    </r>
  </si>
  <si>
    <r>
      <rPr>
        <rFont val="Arial Narrow"/>
        <color theme="1"/>
        <sz val="12.0"/>
      </rPr>
      <t>Ireland</t>
    </r>
  </si>
  <si>
    <r>
      <rPr>
        <rFont val="Arial Narrow"/>
        <color rgb="FF131313"/>
        <sz val="12.0"/>
      </rPr>
      <t>IRI</t>
    </r>
  </si>
  <si>
    <r>
      <rPr>
        <rFont val="Arial Narrow"/>
        <color theme="1"/>
        <sz val="12.0"/>
      </rPr>
      <t>Iran</t>
    </r>
  </si>
  <si>
    <r>
      <rPr>
        <rFont val="Arial Narrow"/>
        <color rgb="FF131313"/>
        <sz val="12.0"/>
      </rPr>
      <t>ISR</t>
    </r>
  </si>
  <si>
    <r>
      <rPr>
        <rFont val="Arial Narrow"/>
        <color theme="1"/>
        <sz val="12.0"/>
      </rPr>
      <t>Israel</t>
    </r>
  </si>
  <si>
    <r>
      <rPr>
        <rFont val="Arial Narrow"/>
        <color rgb="FF131313"/>
        <sz val="12.0"/>
      </rPr>
      <t>ITA</t>
    </r>
  </si>
  <si>
    <r>
      <rPr>
        <rFont val="Arial Narrow"/>
        <color theme="1"/>
        <sz val="12.0"/>
      </rPr>
      <t>Italy</t>
    </r>
  </si>
  <si>
    <r>
      <rPr>
        <rFont val="Arial Narrow"/>
        <color rgb="FF131313"/>
        <sz val="12.0"/>
      </rPr>
      <t>JAM</t>
    </r>
  </si>
  <si>
    <r>
      <rPr>
        <rFont val="Arial Narrow"/>
        <color theme="1"/>
        <sz val="12.0"/>
      </rPr>
      <t>Jamaica</t>
    </r>
  </si>
  <si>
    <r>
      <rPr>
        <rFont val="Arial Narrow"/>
        <color rgb="FF131313"/>
        <sz val="12.0"/>
      </rPr>
      <t>JPN</t>
    </r>
  </si>
  <si>
    <r>
      <rPr>
        <rFont val="Arial Narrow"/>
        <color theme="1"/>
        <sz val="12.0"/>
      </rPr>
      <t>Japan</t>
    </r>
  </si>
  <si>
    <r>
      <rPr>
        <rFont val="Arial Narrow"/>
        <color rgb="FF131313"/>
        <sz val="12.0"/>
      </rPr>
      <t>JOR</t>
    </r>
  </si>
  <si>
    <r>
      <rPr>
        <rFont val="Arial Narrow"/>
        <color theme="1"/>
        <sz val="12.0"/>
      </rPr>
      <t>Jordan</t>
    </r>
  </si>
  <si>
    <r>
      <rPr>
        <rFont val="Arial Narrow"/>
        <color rgb="FF131313"/>
        <sz val="12.0"/>
      </rPr>
      <t>KAZ</t>
    </r>
  </si>
  <si>
    <r>
      <rPr>
        <rFont val="Arial Narrow"/>
        <color theme="1"/>
        <sz val="12.0"/>
      </rPr>
      <t>Kazakhstan</t>
    </r>
  </si>
  <si>
    <r>
      <rPr>
        <rFont val="Arial Narrow"/>
        <color rgb="FF131313"/>
        <sz val="12.0"/>
      </rPr>
      <t>KEN</t>
    </r>
  </si>
  <si>
    <r>
      <rPr>
        <rFont val="Arial Narrow"/>
        <color theme="1"/>
        <sz val="12.0"/>
      </rPr>
      <t>Kenya</t>
    </r>
  </si>
  <si>
    <r>
      <rPr>
        <rFont val="Arial Narrow"/>
        <color rgb="FF131313"/>
        <sz val="12.0"/>
      </rPr>
      <t>KIR</t>
    </r>
  </si>
  <si>
    <r>
      <rPr>
        <rFont val="Arial Narrow"/>
        <color theme="1"/>
        <sz val="12.0"/>
      </rPr>
      <t>Kiribati</t>
    </r>
  </si>
  <si>
    <r>
      <rPr>
        <rFont val="Arial Narrow"/>
        <color rgb="FF131313"/>
        <sz val="12.0"/>
      </rPr>
      <t>KOS</t>
    </r>
  </si>
  <si>
    <r>
      <rPr>
        <rFont val="Arial Narrow"/>
        <color theme="1"/>
        <sz val="12.0"/>
      </rPr>
      <t>Kosovo</t>
    </r>
  </si>
  <si>
    <r>
      <rPr>
        <rFont val="Arial Narrow"/>
        <color rgb="FF131313"/>
        <sz val="12.0"/>
      </rPr>
      <t>KUW</t>
    </r>
  </si>
  <si>
    <r>
      <rPr>
        <rFont val="Arial Narrow"/>
        <color theme="1"/>
        <sz val="12.0"/>
      </rPr>
      <t>Kuwait</t>
    </r>
  </si>
  <si>
    <r>
      <rPr>
        <rFont val="Arial Narrow"/>
        <color rgb="FF131313"/>
        <sz val="12.0"/>
      </rPr>
      <t>KGZ</t>
    </r>
  </si>
  <si>
    <r>
      <rPr>
        <rFont val="Arial Narrow"/>
        <color theme="1"/>
        <sz val="12.0"/>
      </rPr>
      <t>Kyrgyzstan</t>
    </r>
  </si>
  <si>
    <r>
      <rPr>
        <rFont val="Arial Narrow"/>
        <color rgb="FF131313"/>
        <sz val="12.0"/>
      </rPr>
      <t>LAO</t>
    </r>
  </si>
  <si>
    <r>
      <rPr>
        <rFont val="Arial Narrow"/>
        <color theme="1"/>
        <sz val="12.0"/>
      </rPr>
      <t>Laos</t>
    </r>
  </si>
  <si>
    <r>
      <rPr>
        <rFont val="Arial Narrow"/>
        <color rgb="FF131313"/>
        <sz val="12.0"/>
      </rPr>
      <t>LAT</t>
    </r>
  </si>
  <si>
    <r>
      <rPr>
        <rFont val="Arial Narrow"/>
        <color theme="1"/>
        <sz val="12.0"/>
      </rPr>
      <t>Latvia</t>
    </r>
  </si>
  <si>
    <r>
      <rPr>
        <rFont val="Arial Narrow"/>
        <color rgb="FF131313"/>
        <sz val="12.0"/>
      </rPr>
      <t>LBN</t>
    </r>
  </si>
  <si>
    <r>
      <rPr>
        <rFont val="Arial Narrow"/>
        <color theme="1"/>
        <sz val="12.0"/>
      </rPr>
      <t>Lebanon</t>
    </r>
  </si>
  <si>
    <r>
      <rPr>
        <rFont val="Arial Narrow"/>
        <color rgb="FF131313"/>
        <sz val="12.0"/>
      </rPr>
      <t>LES</t>
    </r>
  </si>
  <si>
    <r>
      <rPr>
        <rFont val="Arial Narrow"/>
        <color theme="1"/>
        <sz val="12.0"/>
      </rPr>
      <t>Lesotho</t>
    </r>
  </si>
  <si>
    <r>
      <rPr>
        <rFont val="Arial Narrow"/>
        <color rgb="FF131313"/>
        <sz val="12.0"/>
      </rPr>
      <t>LBR</t>
    </r>
  </si>
  <si>
    <r>
      <rPr>
        <rFont val="Arial Narrow"/>
        <color theme="1"/>
        <sz val="12.0"/>
      </rPr>
      <t>Liberia</t>
    </r>
  </si>
  <si>
    <r>
      <rPr>
        <rFont val="Arial Narrow"/>
        <color rgb="FF131313"/>
        <sz val="12.0"/>
      </rPr>
      <t>LBA</t>
    </r>
  </si>
  <si>
    <r>
      <rPr>
        <rFont val="Arial Narrow"/>
        <color theme="1"/>
        <sz val="12.0"/>
      </rPr>
      <t>Libya</t>
    </r>
  </si>
  <si>
    <r>
      <rPr>
        <rFont val="Arial Narrow"/>
        <color rgb="FF131313"/>
        <sz val="12.0"/>
      </rPr>
      <t>LIE</t>
    </r>
  </si>
  <si>
    <r>
      <rPr>
        <rFont val="Arial Narrow"/>
        <b/>
        <color theme="1"/>
        <sz val="12.0"/>
      </rPr>
      <t>N/a</t>
    </r>
  </si>
  <si>
    <r>
      <rPr>
        <rFont val="Arial Narrow"/>
        <color rgb="FF131313"/>
        <sz val="12.0"/>
      </rPr>
      <t>LTU</t>
    </r>
  </si>
  <si>
    <r>
      <rPr>
        <rFont val="Arial Narrow"/>
        <color theme="1"/>
        <sz val="12.0"/>
      </rPr>
      <t>Lithuania</t>
    </r>
  </si>
  <si>
    <r>
      <rPr>
        <rFont val="Arial Narrow"/>
        <color rgb="FF131313"/>
        <sz val="12.0"/>
      </rPr>
      <t>LUX</t>
    </r>
  </si>
  <si>
    <r>
      <rPr>
        <rFont val="Arial Narrow"/>
        <color theme="1"/>
        <sz val="12.0"/>
      </rPr>
      <t>Luxembourg</t>
    </r>
  </si>
  <si>
    <r>
      <rPr>
        <rFont val="Arial Narrow"/>
        <color rgb="FF131313"/>
        <sz val="12.0"/>
      </rPr>
      <t>CHN</t>
    </r>
  </si>
  <si>
    <r>
      <rPr>
        <rFont val="Arial Narrow"/>
        <color theme="1"/>
        <sz val="12.0"/>
      </rPr>
      <t>China</t>
    </r>
  </si>
  <si>
    <r>
      <rPr>
        <rFont val="Arial Narrow"/>
        <color rgb="FF131313"/>
        <sz val="12.0"/>
      </rPr>
      <t>MAD</t>
    </r>
  </si>
  <si>
    <r>
      <rPr>
        <rFont val="Arial Narrow"/>
        <color theme="1"/>
        <sz val="12.0"/>
      </rPr>
      <t>Madagascar</t>
    </r>
  </si>
  <si>
    <r>
      <rPr>
        <rFont val="Arial Narrow"/>
        <color rgb="FF131313"/>
        <sz val="12.0"/>
      </rPr>
      <t>MAW</t>
    </r>
  </si>
  <si>
    <r>
      <rPr>
        <rFont val="Arial Narrow"/>
        <color theme="1"/>
        <sz val="12.0"/>
      </rPr>
      <t>Malawi</t>
    </r>
  </si>
  <si>
    <r>
      <rPr>
        <rFont val="Arial Narrow"/>
        <color rgb="FF131313"/>
        <sz val="12.0"/>
      </rPr>
      <t>MAS</t>
    </r>
  </si>
  <si>
    <r>
      <rPr>
        <rFont val="Arial Narrow"/>
        <color theme="1"/>
        <sz val="12.0"/>
      </rPr>
      <t>Malaysia</t>
    </r>
  </si>
  <si>
    <r>
      <rPr>
        <rFont val="Arial Narrow"/>
        <color rgb="FF131313"/>
        <sz val="12.0"/>
      </rPr>
      <t>MDV</t>
    </r>
  </si>
  <si>
    <r>
      <rPr>
        <rFont val="Arial Narrow"/>
        <b/>
        <color theme="1"/>
        <sz val="12.0"/>
      </rPr>
      <t>N/a</t>
    </r>
  </si>
  <si>
    <r>
      <rPr>
        <rFont val="Arial Narrow"/>
        <color rgb="FF131313"/>
        <sz val="12.0"/>
      </rPr>
      <t>MLI</t>
    </r>
  </si>
  <si>
    <r>
      <rPr>
        <rFont val="Arial Narrow"/>
        <color theme="1"/>
        <sz val="12.0"/>
      </rPr>
      <t>Mali</t>
    </r>
  </si>
  <si>
    <r>
      <rPr>
        <rFont val="Arial Narrow"/>
        <color rgb="FF131313"/>
        <sz val="12.0"/>
      </rPr>
      <t>MLT</t>
    </r>
  </si>
  <si>
    <r>
      <rPr>
        <rFont val="Arial Narrow"/>
        <color theme="1"/>
        <sz val="12.0"/>
      </rPr>
      <t>Malta</t>
    </r>
  </si>
  <si>
    <r>
      <rPr>
        <rFont val="Arial Narrow"/>
        <color rgb="FF131313"/>
        <sz val="12.0"/>
      </rPr>
      <t>MHL</t>
    </r>
  </si>
  <si>
    <r>
      <rPr>
        <rFont val="Arial Narrow"/>
        <color theme="1"/>
        <sz val="12.0"/>
      </rPr>
      <t>Marshall Islands</t>
    </r>
  </si>
  <si>
    <r>
      <rPr>
        <rFont val="Arial Narrow"/>
        <color rgb="FF131313"/>
        <sz val="12.0"/>
      </rPr>
      <t>FRA</t>
    </r>
    <r>
      <rPr>
        <rFont val="Arial Narrow"/>
        <color rgb="FF131313"/>
        <sz val="8.0"/>
        <vertAlign val="superscript"/>
      </rPr>
      <t>7</t>
    </r>
  </si>
  <si>
    <r>
      <rPr>
        <rFont val="Arial Narrow"/>
        <color theme="1"/>
        <sz val="12.0"/>
      </rPr>
      <t>Martinique (MRN)</t>
    </r>
  </si>
  <si>
    <r>
      <rPr>
        <rFont val="Arial Narrow"/>
        <color rgb="FF131313"/>
        <sz val="12.0"/>
      </rPr>
      <t>MTN</t>
    </r>
  </si>
  <si>
    <r>
      <rPr>
        <rFont val="Arial Narrow"/>
        <color theme="1"/>
        <sz val="12.0"/>
      </rPr>
      <t>Mauritania</t>
    </r>
  </si>
  <si>
    <r>
      <rPr>
        <rFont val="Arial Narrow"/>
        <color rgb="FF131313"/>
        <sz val="12.0"/>
      </rPr>
      <t>MRI</t>
    </r>
  </si>
  <si>
    <r>
      <rPr>
        <rFont val="Arial Narrow"/>
        <color theme="1"/>
        <sz val="12.0"/>
      </rPr>
      <t>Mauritius</t>
    </r>
  </si>
  <si>
    <r>
      <rPr>
        <rFont val="Arial Narrow"/>
        <color rgb="FF131313"/>
        <sz val="12.0"/>
      </rPr>
      <t>MEX</t>
    </r>
  </si>
  <si>
    <r>
      <rPr>
        <rFont val="Arial Narrow"/>
        <color theme="1"/>
        <sz val="12.0"/>
      </rPr>
      <t>Mexico</t>
    </r>
  </si>
  <si>
    <r>
      <rPr>
        <rFont val="Arial Narrow"/>
        <color rgb="FF131313"/>
        <sz val="12.0"/>
      </rPr>
      <t>MON</t>
    </r>
  </si>
  <si>
    <r>
      <rPr>
        <rFont val="Arial Narrow"/>
        <color theme="1"/>
        <sz val="12.0"/>
      </rPr>
      <t>Monaco</t>
    </r>
  </si>
  <si>
    <r>
      <rPr>
        <rFont val="Arial Narrow"/>
        <color rgb="FF131313"/>
        <sz val="12.0"/>
      </rPr>
      <t>MGL</t>
    </r>
  </si>
  <si>
    <r>
      <rPr>
        <rFont val="Arial Narrow"/>
        <color theme="1"/>
        <sz val="12.0"/>
      </rPr>
      <t>Mongolia</t>
    </r>
  </si>
  <si>
    <r>
      <rPr>
        <rFont val="Arial Narrow"/>
        <color rgb="FF131313"/>
        <sz val="12.0"/>
      </rPr>
      <t>MNE</t>
    </r>
  </si>
  <si>
    <r>
      <rPr>
        <rFont val="Arial Narrow"/>
        <color theme="1"/>
        <sz val="12.0"/>
      </rPr>
      <t>Montenegro</t>
    </r>
  </si>
  <si>
    <r>
      <rPr>
        <rFont val="Arial Narrow"/>
        <color rgb="FF131313"/>
        <sz val="12.0"/>
      </rPr>
      <t>MAR</t>
    </r>
  </si>
  <si>
    <r>
      <rPr>
        <rFont val="Arial Narrow"/>
        <color theme="1"/>
        <sz val="12.0"/>
      </rPr>
      <t>Morocco</t>
    </r>
  </si>
  <si>
    <r>
      <rPr>
        <rFont val="Arial Narrow"/>
        <color rgb="FF131313"/>
        <sz val="12.0"/>
      </rPr>
      <t>MOZ</t>
    </r>
  </si>
  <si>
    <r>
      <rPr>
        <rFont val="Arial Narrow"/>
        <color theme="1"/>
        <sz val="12.0"/>
      </rPr>
      <t>Mozambique</t>
    </r>
  </si>
  <si>
    <r>
      <rPr>
        <rFont val="Arial Narrow"/>
        <color rgb="FF131313"/>
        <sz val="12.0"/>
      </rPr>
      <t>MYA</t>
    </r>
  </si>
  <si>
    <r>
      <rPr>
        <rFont val="Arial Narrow"/>
        <color theme="1"/>
        <sz val="12.0"/>
      </rPr>
      <t>Myanmar</t>
    </r>
  </si>
  <si>
    <r>
      <rPr>
        <rFont val="Arial Narrow"/>
        <color rgb="FF131313"/>
        <sz val="12.0"/>
      </rPr>
      <t>NAM</t>
    </r>
  </si>
  <si>
    <r>
      <rPr>
        <rFont val="Arial Narrow"/>
        <b/>
        <color theme="1"/>
        <sz val="12.0"/>
      </rPr>
      <t>N/a</t>
    </r>
  </si>
  <si>
    <r>
      <rPr>
        <rFont val="Arial Narrow"/>
        <color rgb="FF131313"/>
        <sz val="12.0"/>
      </rPr>
      <t>NRU</t>
    </r>
  </si>
  <si>
    <r>
      <rPr>
        <rFont val="Arial Narrow"/>
        <color theme="1"/>
        <sz val="12.0"/>
      </rPr>
      <t>Nauru</t>
    </r>
  </si>
  <si>
    <r>
      <rPr>
        <rFont val="Arial Narrow"/>
        <color rgb="FF131313"/>
        <sz val="12.0"/>
      </rPr>
      <t>NEP</t>
    </r>
  </si>
  <si>
    <r>
      <rPr>
        <rFont val="Arial Narrow"/>
        <color theme="1"/>
        <sz val="12.0"/>
      </rPr>
      <t>Nepal</t>
    </r>
  </si>
  <si>
    <r>
      <rPr>
        <rFont val="Arial Narrow"/>
        <color rgb="FF131313"/>
        <sz val="12.0"/>
      </rPr>
      <t>NED</t>
    </r>
  </si>
  <si>
    <r>
      <rPr>
        <rFont val="Arial Narrow"/>
        <color theme="1"/>
        <sz val="12.0"/>
      </rPr>
      <t>Netherlands</t>
    </r>
  </si>
  <si>
    <r>
      <rPr>
        <rFont val="Arial Narrow"/>
        <color rgb="FF131313"/>
        <sz val="12.0"/>
      </rPr>
      <t>FRA</t>
    </r>
    <r>
      <rPr>
        <rFont val="Arial Narrow"/>
        <color rgb="FF131313"/>
        <sz val="8.0"/>
        <vertAlign val="superscript"/>
      </rPr>
      <t>8</t>
    </r>
  </si>
  <si>
    <r>
      <rPr>
        <rFont val="Arial Narrow"/>
        <color theme="1"/>
        <sz val="12.0"/>
      </rPr>
      <t>New Caledonia (NCD)</t>
    </r>
  </si>
  <si>
    <r>
      <rPr>
        <rFont val="Arial Narrow"/>
        <color rgb="FF131313"/>
        <sz val="12.0"/>
      </rPr>
      <t>NZL</t>
    </r>
  </si>
  <si>
    <r>
      <rPr>
        <rFont val="Arial Narrow"/>
        <color theme="1"/>
        <sz val="12.0"/>
      </rPr>
      <t>New Zealand</t>
    </r>
  </si>
  <si>
    <r>
      <rPr>
        <rFont val="Arial Narrow"/>
        <color rgb="FF131313"/>
        <sz val="12.0"/>
      </rPr>
      <t>NCA</t>
    </r>
  </si>
  <si>
    <r>
      <rPr>
        <rFont val="Arial Narrow"/>
        <color theme="1"/>
        <sz val="12.0"/>
      </rPr>
      <t>Nicaragua</t>
    </r>
  </si>
  <si>
    <r>
      <rPr>
        <rFont val="Arial Narrow"/>
        <color rgb="FF131313"/>
        <sz val="12.0"/>
      </rPr>
      <t>NIG</t>
    </r>
  </si>
  <si>
    <r>
      <rPr>
        <rFont val="Arial Narrow"/>
        <color theme="1"/>
        <sz val="12.0"/>
      </rPr>
      <t>Niger</t>
    </r>
  </si>
  <si>
    <r>
      <rPr>
        <rFont val="Arial Narrow"/>
        <color rgb="FF131313"/>
        <sz val="12.0"/>
      </rPr>
      <t>NGR</t>
    </r>
  </si>
  <si>
    <r>
      <rPr>
        <rFont val="Arial Narrow"/>
        <color theme="1"/>
        <sz val="12.0"/>
      </rPr>
      <t>Nigeria</t>
    </r>
  </si>
  <si>
    <r>
      <rPr>
        <rFont val="Arial Narrow"/>
        <color rgb="FF131313"/>
        <sz val="12.0"/>
      </rPr>
      <t>NOR</t>
    </r>
  </si>
  <si>
    <r>
      <rPr>
        <rFont val="Arial Narrow"/>
        <color theme="1"/>
        <sz val="12.0"/>
      </rPr>
      <t>Norway</t>
    </r>
  </si>
  <si>
    <r>
      <rPr>
        <rFont val="Arial Narrow"/>
        <color rgb="FF131313"/>
        <sz val="12.0"/>
      </rPr>
      <t>OMA</t>
    </r>
  </si>
  <si>
    <r>
      <rPr>
        <rFont val="Arial Narrow"/>
        <color theme="1"/>
        <sz val="12.0"/>
      </rPr>
      <t>Oman</t>
    </r>
  </si>
  <si>
    <r>
      <rPr>
        <rFont val="Arial Narrow"/>
        <color rgb="FF131313"/>
        <sz val="12.0"/>
      </rPr>
      <t>PAK</t>
    </r>
  </si>
  <si>
    <r>
      <rPr>
        <rFont val="Arial Narrow"/>
        <color theme="1"/>
        <sz val="12.0"/>
      </rPr>
      <t>Pakistan</t>
    </r>
  </si>
  <si>
    <r>
      <rPr>
        <rFont val="Arial Narrow"/>
        <color rgb="FF131313"/>
        <sz val="12.0"/>
      </rPr>
      <t>PLW</t>
    </r>
  </si>
  <si>
    <r>
      <rPr>
        <rFont val="Arial Narrow"/>
        <color theme="1"/>
        <sz val="12.0"/>
      </rPr>
      <t>Palau</t>
    </r>
  </si>
  <si>
    <r>
      <rPr>
        <rFont val="Arial Narrow"/>
        <color rgb="FF131313"/>
        <sz val="12.0"/>
      </rPr>
      <t>PLE</t>
    </r>
  </si>
  <si>
    <r>
      <rPr>
        <rFont val="Arial Narrow"/>
        <color theme="1"/>
        <sz val="12.0"/>
      </rPr>
      <t>Palestine</t>
    </r>
  </si>
  <si>
    <r>
      <rPr>
        <rFont val="Arial Narrow"/>
        <color rgb="FF131313"/>
        <sz val="12.0"/>
      </rPr>
      <t>PAN</t>
    </r>
  </si>
  <si>
    <r>
      <rPr>
        <rFont val="Arial Narrow"/>
        <color theme="1"/>
        <sz val="12.0"/>
      </rPr>
      <t>Panama</t>
    </r>
  </si>
  <si>
    <r>
      <rPr>
        <rFont val="Arial Narrow"/>
        <color rgb="FF131313"/>
        <sz val="12.0"/>
      </rPr>
      <t>PNG</t>
    </r>
  </si>
  <si>
    <r>
      <rPr>
        <rFont val="Arial Narrow"/>
        <color theme="1"/>
        <sz val="12.0"/>
      </rPr>
      <t>Papua New Guinea</t>
    </r>
  </si>
  <si>
    <r>
      <rPr>
        <rFont val="Arial Narrow"/>
        <color rgb="FF131313"/>
        <sz val="12.0"/>
      </rPr>
      <t>PAR</t>
    </r>
  </si>
  <si>
    <r>
      <rPr>
        <rFont val="Arial Narrow"/>
        <color theme="1"/>
        <sz val="12.0"/>
      </rPr>
      <t>Paraguay</t>
    </r>
  </si>
  <si>
    <r>
      <rPr>
        <rFont val="Arial Narrow"/>
        <color theme="1"/>
        <sz val="12.0"/>
      </rPr>
      <t>CHN</t>
    </r>
  </si>
  <si>
    <r>
      <rPr>
        <rFont val="Arial Narrow"/>
        <color theme="1"/>
        <sz val="12.0"/>
      </rPr>
      <t>China</t>
    </r>
  </si>
  <si>
    <r>
      <rPr>
        <rFont val="Arial Narrow"/>
        <color rgb="FF000000"/>
        <sz val="12.0"/>
      </rPr>
      <t>CHN</t>
    </r>
    <r>
      <rPr>
        <rFont val="Arial Narrow"/>
        <color rgb="FF000000"/>
        <sz val="8.0"/>
        <vertAlign val="superscript"/>
      </rPr>
      <t>9</t>
    </r>
  </si>
  <si>
    <r>
      <rPr>
        <rFont val="Arial Narrow"/>
        <color theme="1"/>
        <sz val="12.0"/>
      </rPr>
      <t>Macau (MAC)</t>
    </r>
  </si>
  <si>
    <r>
      <rPr>
        <rFont val="Arial Narrow"/>
        <color rgb="FF131313"/>
        <sz val="12.0"/>
      </rPr>
      <t>PER</t>
    </r>
  </si>
  <si>
    <r>
      <rPr>
        <rFont val="Arial Narrow"/>
        <color theme="1"/>
        <sz val="12.0"/>
      </rPr>
      <t>Peru</t>
    </r>
  </si>
  <si>
    <r>
      <rPr>
        <rFont val="Arial Narrow"/>
        <color rgb="FF131313"/>
        <sz val="12.0"/>
      </rPr>
      <t>PHI</t>
    </r>
  </si>
  <si>
    <r>
      <rPr>
        <rFont val="Arial Narrow"/>
        <color theme="1"/>
        <sz val="12.0"/>
      </rPr>
      <t>Philippines</t>
    </r>
  </si>
  <si>
    <r>
      <rPr>
        <rFont val="Arial Narrow"/>
        <color rgb="FF131313"/>
        <sz val="12.0"/>
      </rPr>
      <t>POL</t>
    </r>
  </si>
  <si>
    <r>
      <rPr>
        <rFont val="Arial Narrow"/>
        <color theme="1"/>
        <sz val="12.0"/>
      </rPr>
      <t>Poland</t>
    </r>
  </si>
  <si>
    <r>
      <rPr>
        <rFont val="Arial Narrow"/>
        <color rgb="FF131313"/>
        <sz val="12.0"/>
      </rPr>
      <t>POR</t>
    </r>
  </si>
  <si>
    <r>
      <rPr>
        <rFont val="Arial Narrow"/>
        <color theme="1"/>
        <sz val="12.0"/>
      </rPr>
      <t>Portugal</t>
    </r>
  </si>
  <si>
    <r>
      <rPr>
        <rFont val="Arial Narrow"/>
        <color rgb="FF131313"/>
        <sz val="12.0"/>
      </rPr>
      <t>PUR</t>
    </r>
  </si>
  <si>
    <r>
      <rPr>
        <rFont val="Arial Narrow"/>
        <color theme="1"/>
        <sz val="12.0"/>
      </rPr>
      <t>Puerto Rico</t>
    </r>
  </si>
  <si>
    <r>
      <rPr>
        <rFont val="Arial Narrow"/>
        <color rgb="FF131313"/>
        <sz val="12.0"/>
      </rPr>
      <t>QAT</t>
    </r>
  </si>
  <si>
    <r>
      <rPr>
        <rFont val="Arial Narrow"/>
        <color theme="1"/>
        <sz val="12.0"/>
      </rPr>
      <t>Qatar</t>
    </r>
  </si>
  <si>
    <r>
      <rPr>
        <rFont val="Arial Narrow"/>
        <color rgb="FF131313"/>
        <sz val="12.0"/>
      </rPr>
      <t>RTA</t>
    </r>
    <r>
      <rPr>
        <rFont val="Arial Narrow"/>
        <color rgb="FF131313"/>
        <sz val="8.0"/>
        <vertAlign val="superscript"/>
      </rPr>
      <t>10</t>
    </r>
  </si>
  <si>
    <r>
      <rPr>
        <rFont val="Arial Narrow"/>
        <color rgb="FF000000"/>
        <sz val="12.0"/>
      </rPr>
      <t>Refugee Taekwondo Athletes</t>
    </r>
    <r>
      <rPr>
        <rFont val="Arial Narrow"/>
        <color rgb="FF000000"/>
        <sz val="8.0"/>
        <vertAlign val="superscript"/>
      </rPr>
      <t>11</t>
    </r>
  </si>
  <si>
    <r>
      <rPr>
        <rFont val="Arial Narrow"/>
        <color theme="1"/>
        <sz val="12.0"/>
      </rPr>
      <t>KOR</t>
    </r>
  </si>
  <si>
    <r>
      <rPr>
        <rFont val="Arial Narrow"/>
        <color theme="1"/>
        <sz val="12.0"/>
      </rPr>
      <t>Korea</t>
    </r>
  </si>
  <si>
    <r>
      <rPr>
        <rFont val="Arial Narrow"/>
        <color theme="1"/>
        <sz val="12.0"/>
      </rPr>
      <t>MDA</t>
    </r>
  </si>
  <si>
    <r>
      <rPr>
        <rFont val="Arial Narrow"/>
        <color theme="1"/>
        <sz val="12.0"/>
      </rPr>
      <t>Moldova</t>
    </r>
  </si>
  <si>
    <r>
      <rPr>
        <rFont val="Arial Narrow"/>
        <color rgb="FF131313"/>
        <sz val="12.0"/>
      </rPr>
      <t>ROU</t>
    </r>
  </si>
  <si>
    <r>
      <rPr>
        <rFont val="Arial Narrow"/>
        <color theme="1"/>
        <sz val="12.0"/>
      </rPr>
      <t>Romania</t>
    </r>
  </si>
  <si>
    <r>
      <rPr>
        <rFont val="Arial Narrow"/>
        <color rgb="FF131313"/>
        <sz val="12.0"/>
      </rPr>
      <t>RUS</t>
    </r>
  </si>
  <si>
    <r>
      <rPr>
        <rFont val="Arial Narrow"/>
        <color theme="1"/>
        <sz val="12.0"/>
      </rPr>
      <t>Russia</t>
    </r>
  </si>
  <si>
    <r>
      <rPr>
        <rFont val="Arial Narrow"/>
        <color rgb="FF131313"/>
        <sz val="12.0"/>
      </rPr>
      <t>RWA</t>
    </r>
  </si>
  <si>
    <r>
      <rPr>
        <rFont val="Arial Narrow"/>
        <color theme="1"/>
        <sz val="12.0"/>
      </rPr>
      <t>Rwanda</t>
    </r>
  </si>
  <si>
    <r>
      <rPr>
        <rFont val="Arial Narrow"/>
        <color rgb="FF131313"/>
        <sz val="12.0"/>
      </rPr>
      <t>SKN</t>
    </r>
  </si>
  <si>
    <r>
      <rPr>
        <rFont val="Arial Narrow"/>
        <color theme="1"/>
        <sz val="12.0"/>
      </rPr>
      <t>Saint Kitts And Nevis</t>
    </r>
  </si>
  <si>
    <r>
      <rPr>
        <rFont val="Arial Narrow"/>
        <color rgb="FF131313"/>
        <sz val="12.0"/>
      </rPr>
      <t>LCA</t>
    </r>
  </si>
  <si>
    <r>
      <rPr>
        <rFont val="Arial Narrow"/>
        <color theme="1"/>
        <sz val="12.0"/>
      </rPr>
      <t>Saint Lucia</t>
    </r>
  </si>
  <si>
    <r>
      <rPr>
        <rFont val="Arial Narrow"/>
        <color rgb="FF131313"/>
        <sz val="12.0"/>
      </rPr>
      <t>SAM</t>
    </r>
  </si>
  <si>
    <r>
      <rPr>
        <rFont val="Arial Narrow"/>
        <color theme="1"/>
        <sz val="12.0"/>
      </rPr>
      <t>Samoa</t>
    </r>
  </si>
  <si>
    <r>
      <rPr>
        <rFont val="Arial Narrow"/>
        <color rgb="FF131313"/>
        <sz val="12.0"/>
      </rPr>
      <t>SMR</t>
    </r>
  </si>
  <si>
    <r>
      <rPr>
        <rFont val="Arial Narrow"/>
        <color theme="1"/>
        <sz val="12.0"/>
      </rPr>
      <t>San Marino</t>
    </r>
  </si>
  <si>
    <r>
      <rPr>
        <rFont val="Arial Narrow"/>
        <color theme="1"/>
        <sz val="12.0"/>
      </rPr>
      <t>STP</t>
    </r>
  </si>
  <si>
    <r>
      <rPr>
        <rFont val="Arial Narrow"/>
        <color theme="1"/>
        <sz val="12.0"/>
      </rPr>
      <t>Sao Tome and Principe</t>
    </r>
  </si>
  <si>
    <r>
      <rPr>
        <rFont val="Arial Narrow"/>
        <color rgb="FF131313"/>
        <sz val="12.0"/>
      </rPr>
      <t>KSA</t>
    </r>
  </si>
  <si>
    <r>
      <rPr>
        <rFont val="Arial Narrow"/>
        <color theme="1"/>
        <sz val="12.0"/>
      </rPr>
      <t>Saudi Arabia</t>
    </r>
  </si>
  <si>
    <r>
      <rPr>
        <rFont val="Arial Narrow"/>
        <color rgb="FF131313"/>
        <sz val="12.0"/>
      </rPr>
      <t>SEN</t>
    </r>
  </si>
  <si>
    <r>
      <rPr>
        <rFont val="Arial Narrow"/>
        <color theme="1"/>
        <sz val="12.0"/>
      </rPr>
      <t>Senegal</t>
    </r>
  </si>
  <si>
    <r>
      <rPr>
        <rFont val="Arial Narrow"/>
        <color rgb="FF131313"/>
        <sz val="12.0"/>
      </rPr>
      <t>SRB</t>
    </r>
  </si>
  <si>
    <r>
      <rPr>
        <rFont val="Arial Narrow"/>
        <color theme="1"/>
        <sz val="12.0"/>
      </rPr>
      <t>Serbia</t>
    </r>
  </si>
  <si>
    <r>
      <rPr>
        <rFont val="Arial Narrow"/>
        <color rgb="FF131313"/>
        <sz val="12.0"/>
      </rPr>
      <t>SEY</t>
    </r>
  </si>
  <si>
    <r>
      <rPr>
        <rFont val="Arial Narrow"/>
        <color theme="1"/>
        <sz val="12.0"/>
      </rPr>
      <t>Seychelles</t>
    </r>
  </si>
  <si>
    <r>
      <rPr>
        <rFont val="Arial Narrow"/>
        <color rgb="FF131313"/>
        <sz val="12.0"/>
      </rPr>
      <t>SLE</t>
    </r>
  </si>
  <si>
    <r>
      <rPr>
        <rFont val="Arial Narrow"/>
        <color theme="1"/>
        <sz val="12.0"/>
      </rPr>
      <t>Sierra Leone</t>
    </r>
  </si>
  <si>
    <r>
      <rPr>
        <rFont val="Arial Narrow"/>
        <color rgb="FF131313"/>
        <sz val="12.0"/>
      </rPr>
      <t>SGP</t>
    </r>
  </si>
  <si>
    <r>
      <rPr>
        <rFont val="Arial Narrow"/>
        <color theme="1"/>
        <sz val="12.0"/>
      </rPr>
      <t>Singapore</t>
    </r>
  </si>
  <si>
    <r>
      <rPr>
        <rFont val="Arial Narrow"/>
        <color rgb="FF131313"/>
        <sz val="12.0"/>
      </rPr>
      <t>SVK</t>
    </r>
  </si>
  <si>
    <r>
      <rPr>
        <rFont val="Arial Narrow"/>
        <color theme="1"/>
        <sz val="12.0"/>
      </rPr>
      <t>Slovakia</t>
    </r>
  </si>
  <si>
    <r>
      <rPr>
        <rFont val="Arial Narrow"/>
        <color rgb="FF131313"/>
        <sz val="12.0"/>
      </rPr>
      <t>SLO</t>
    </r>
  </si>
  <si>
    <r>
      <rPr>
        <rFont val="Arial Narrow"/>
        <color theme="1"/>
        <sz val="12.0"/>
      </rPr>
      <t>Slovenia</t>
    </r>
  </si>
  <si>
    <r>
      <rPr>
        <rFont val="Arial Narrow"/>
        <color rgb="FF131313"/>
        <sz val="12.0"/>
      </rPr>
      <t>SOL</t>
    </r>
  </si>
  <si>
    <r>
      <rPr>
        <rFont val="Arial Narrow"/>
        <color theme="1"/>
        <sz val="12.0"/>
      </rPr>
      <t>Solomon Islands</t>
    </r>
  </si>
  <si>
    <r>
      <rPr>
        <rFont val="Arial Narrow"/>
        <color rgb="FF131313"/>
        <sz val="12.0"/>
      </rPr>
      <t>SOM</t>
    </r>
  </si>
  <si>
    <r>
      <rPr>
        <rFont val="Arial Narrow"/>
        <color theme="1"/>
        <sz val="12.0"/>
      </rPr>
      <t>Somalia</t>
    </r>
  </si>
  <si>
    <r>
      <rPr>
        <rFont val="Arial Narrow"/>
        <color rgb="FF131313"/>
        <sz val="12.0"/>
      </rPr>
      <t>RSA</t>
    </r>
  </si>
  <si>
    <r>
      <rPr>
        <rFont val="Arial Narrow"/>
        <color theme="1"/>
        <sz val="12.0"/>
      </rPr>
      <t>South Africa</t>
    </r>
  </si>
  <si>
    <r>
      <rPr>
        <rFont val="Arial Narrow"/>
        <color rgb="FF131313"/>
        <sz val="12.0"/>
      </rPr>
      <t>SSD</t>
    </r>
  </si>
  <si>
    <r>
      <rPr>
        <rFont val="Arial Narrow"/>
        <color theme="1"/>
        <sz val="12.0"/>
      </rPr>
      <t>South Sudan</t>
    </r>
  </si>
  <si>
    <r>
      <rPr>
        <rFont val="Arial Narrow"/>
        <color rgb="FF131313"/>
        <sz val="12.0"/>
      </rPr>
      <t>ESP</t>
    </r>
  </si>
  <si>
    <r>
      <rPr>
        <rFont val="Arial Narrow"/>
        <color theme="1"/>
        <sz val="12.0"/>
      </rPr>
      <t>Spain</t>
    </r>
  </si>
  <si>
    <r>
      <rPr>
        <rFont val="Arial Narrow"/>
        <color rgb="FF131313"/>
        <sz val="12.0"/>
      </rPr>
      <t>SRI</t>
    </r>
  </si>
  <si>
    <r>
      <rPr>
        <rFont val="Arial Narrow"/>
        <color theme="1"/>
        <sz val="12.0"/>
      </rPr>
      <t>Sri Lanka</t>
    </r>
  </si>
  <si>
    <r>
      <rPr>
        <rFont val="Arial Narrow"/>
        <color rgb="FF131313"/>
        <sz val="12.0"/>
      </rPr>
      <t>VIN</t>
    </r>
  </si>
  <si>
    <r>
      <rPr>
        <rFont val="Arial Narrow"/>
        <color theme="1"/>
        <sz val="12.0"/>
      </rPr>
      <t>Saint Vincent and the Grenadines</t>
    </r>
  </si>
  <si>
    <r>
      <rPr>
        <rFont val="Arial Narrow"/>
        <color rgb="FF131313"/>
        <sz val="12.0"/>
      </rPr>
      <t>SUD</t>
    </r>
  </si>
  <si>
    <r>
      <rPr>
        <rFont val="Arial Narrow"/>
        <color theme="1"/>
        <sz val="12.0"/>
      </rPr>
      <t>Sudan</t>
    </r>
  </si>
  <si>
    <r>
      <rPr>
        <rFont val="Arial Narrow"/>
        <color rgb="FF131313"/>
        <sz val="12.0"/>
      </rPr>
      <t>SUR</t>
    </r>
  </si>
  <si>
    <r>
      <rPr>
        <rFont val="Arial Narrow"/>
        <color theme="1"/>
        <sz val="12.0"/>
      </rPr>
      <t>Suriname</t>
    </r>
  </si>
  <si>
    <r>
      <rPr>
        <rFont val="Arial Narrow"/>
        <color rgb="FF131313"/>
        <sz val="12.0"/>
      </rPr>
      <t>SWZ</t>
    </r>
  </si>
  <si>
    <r>
      <rPr>
        <rFont val="Arial Narrow"/>
        <color theme="1"/>
        <sz val="12.0"/>
      </rPr>
      <t>Eswatini</t>
    </r>
  </si>
  <si>
    <r>
      <rPr>
        <rFont val="Arial Narrow"/>
        <color rgb="FF131313"/>
        <sz val="12.0"/>
      </rPr>
      <t>SWE</t>
    </r>
  </si>
  <si>
    <r>
      <rPr>
        <rFont val="Arial Narrow"/>
        <color theme="1"/>
        <sz val="12.0"/>
      </rPr>
      <t>Sweden</t>
    </r>
  </si>
  <si>
    <r>
      <rPr>
        <rFont val="Arial Narrow"/>
        <color rgb="FF131313"/>
        <sz val="12.0"/>
      </rPr>
      <t>SUI</t>
    </r>
  </si>
  <si>
    <r>
      <rPr>
        <rFont val="Arial Narrow"/>
        <color theme="1"/>
        <sz val="12.0"/>
      </rPr>
      <t>Switzerland</t>
    </r>
  </si>
  <si>
    <r>
      <rPr>
        <rFont val="Arial Narrow"/>
        <color rgb="FF131313"/>
        <sz val="12.0"/>
      </rPr>
      <t>SYR</t>
    </r>
  </si>
  <si>
    <r>
      <rPr>
        <rFont val="Arial Narrow"/>
        <color theme="1"/>
        <sz val="12.0"/>
      </rPr>
      <t>Syrian Arab Republic</t>
    </r>
  </si>
  <si>
    <r>
      <rPr>
        <rFont val="Arial Narrow"/>
        <color rgb="FF131313"/>
        <sz val="12.0"/>
      </rPr>
      <t>TJK</t>
    </r>
  </si>
  <si>
    <r>
      <rPr>
        <rFont val="Arial Narrow"/>
        <color theme="1"/>
        <sz val="12.0"/>
      </rPr>
      <t>Tajikistan</t>
    </r>
  </si>
  <si>
    <r>
      <rPr>
        <rFont val="Arial Narrow"/>
        <color rgb="FF131313"/>
        <sz val="12.0"/>
      </rPr>
      <t>THA</t>
    </r>
  </si>
  <si>
    <r>
      <rPr>
        <rFont val="Arial Narrow"/>
        <color theme="1"/>
        <sz val="12.0"/>
      </rPr>
      <t>Thailand</t>
    </r>
  </si>
  <si>
    <r>
      <rPr>
        <rFont val="Arial Narrow"/>
        <color rgb="FF131313"/>
        <sz val="12.0"/>
      </rPr>
      <t>MKD</t>
    </r>
  </si>
  <si>
    <r>
      <rPr>
        <rFont val="Arial Narrow"/>
        <color theme="1"/>
        <sz val="12.0"/>
      </rPr>
      <t>Macedonia</t>
    </r>
  </si>
  <si>
    <r>
      <rPr>
        <rFont val="Arial Narrow"/>
        <color rgb="FF131313"/>
        <sz val="12.0"/>
      </rPr>
      <t>TLS</t>
    </r>
  </si>
  <si>
    <r>
      <rPr>
        <rFont val="Arial Narrow"/>
        <color theme="1"/>
        <sz val="12.0"/>
      </rPr>
      <t>East Timor</t>
    </r>
  </si>
  <si>
    <r>
      <rPr>
        <rFont val="Arial Narrow"/>
        <color rgb="FF131313"/>
        <sz val="12.0"/>
      </rPr>
      <t>TOG</t>
    </r>
  </si>
  <si>
    <r>
      <rPr>
        <rFont val="Arial Narrow"/>
        <color theme="1"/>
        <sz val="12.0"/>
      </rPr>
      <t>Togo</t>
    </r>
  </si>
  <si>
    <r>
      <rPr>
        <rFont val="Arial Narrow"/>
        <color rgb="FF131313"/>
        <sz val="12.0"/>
      </rPr>
      <t>TGA</t>
    </r>
  </si>
  <si>
    <r>
      <rPr>
        <rFont val="Arial Narrow"/>
        <color theme="1"/>
        <sz val="12.0"/>
      </rPr>
      <t>Tonga</t>
    </r>
  </si>
  <si>
    <r>
      <rPr>
        <rFont val="Arial Narrow"/>
        <color rgb="FF131313"/>
        <sz val="12.0"/>
      </rPr>
      <t>TTO</t>
    </r>
  </si>
  <si>
    <r>
      <rPr>
        <rFont val="Arial Narrow"/>
        <color theme="1"/>
        <sz val="12.0"/>
      </rPr>
      <t>Trinidad and Tobago</t>
    </r>
  </si>
  <si>
    <r>
      <rPr>
        <rFont val="Arial Narrow"/>
        <color rgb="FF131313"/>
        <sz val="12.0"/>
      </rPr>
      <t>TUN</t>
    </r>
  </si>
  <si>
    <r>
      <rPr>
        <rFont val="Arial Narrow"/>
        <color theme="1"/>
        <sz val="12.0"/>
      </rPr>
      <t>Tunisia</t>
    </r>
  </si>
  <si>
    <r>
      <rPr>
        <rFont val="Arial Narrow"/>
        <color rgb="FF131313"/>
        <sz val="12.0"/>
      </rPr>
      <t>TUR</t>
    </r>
  </si>
  <si>
    <r>
      <rPr>
        <rFont val="Arial Narrow"/>
        <color theme="1"/>
        <sz val="12.0"/>
      </rPr>
      <t>Turkey</t>
    </r>
  </si>
  <si>
    <r>
      <rPr>
        <rFont val="Arial Narrow"/>
        <color rgb="FF131313"/>
        <sz val="12.0"/>
      </rPr>
      <t>TKM</t>
    </r>
  </si>
  <si>
    <r>
      <rPr>
        <rFont val="Arial Narrow"/>
        <color theme="1"/>
        <sz val="12.0"/>
      </rPr>
      <t>Turkmenistan</t>
    </r>
  </si>
  <si>
    <r>
      <rPr>
        <rFont val="Arial Narrow"/>
        <color rgb="FF131313"/>
        <sz val="12.0"/>
      </rPr>
      <t>TUV</t>
    </r>
  </si>
  <si>
    <r>
      <rPr>
        <rFont val="Arial Narrow"/>
        <color theme="1"/>
        <sz val="12.0"/>
      </rPr>
      <t>Tuvalu</t>
    </r>
  </si>
  <si>
    <r>
      <rPr>
        <rFont val="Arial Narrow"/>
        <color rgb="FF131313"/>
        <sz val="12.0"/>
      </rPr>
      <t>UGA</t>
    </r>
  </si>
  <si>
    <r>
      <rPr>
        <rFont val="Arial Narrow"/>
        <color theme="1"/>
        <sz val="12.0"/>
      </rPr>
      <t>Uganda</t>
    </r>
  </si>
  <si>
    <r>
      <rPr>
        <rFont val="Arial Narrow"/>
        <color rgb="FF131313"/>
        <sz val="12.0"/>
      </rPr>
      <t>UKR</t>
    </r>
  </si>
  <si>
    <r>
      <rPr>
        <rFont val="Arial Narrow"/>
        <color theme="1"/>
        <sz val="12.0"/>
      </rPr>
      <t>Ukraine</t>
    </r>
  </si>
  <si>
    <r>
      <rPr>
        <rFont val="Arial Narrow"/>
        <color rgb="FF131313"/>
        <sz val="12.0"/>
      </rPr>
      <t>UAE</t>
    </r>
  </si>
  <si>
    <r>
      <rPr>
        <rFont val="Arial Narrow"/>
        <color theme="1"/>
        <sz val="12.0"/>
      </rPr>
      <t>United Arab Emirates</t>
    </r>
  </si>
  <si>
    <r>
      <rPr>
        <rFont val="Arial Narrow"/>
        <color rgb="FF131313"/>
        <sz val="12.0"/>
      </rPr>
      <t>TAN</t>
    </r>
  </si>
  <si>
    <r>
      <rPr>
        <rFont val="Arial Narrow"/>
        <color theme="1"/>
        <sz val="12.0"/>
      </rPr>
      <t>United Republic of Tanzania</t>
    </r>
  </si>
  <si>
    <r>
      <rPr>
        <rFont val="Arial Narrow"/>
        <color rgb="FF131313"/>
        <sz val="12.0"/>
      </rPr>
      <t>USA</t>
    </r>
  </si>
  <si>
    <r>
      <rPr>
        <rFont val="Arial Narrow"/>
        <color theme="1"/>
        <sz val="12.0"/>
      </rPr>
      <t>United States of America</t>
    </r>
  </si>
  <si>
    <r>
      <rPr>
        <rFont val="Arial Narrow"/>
        <color rgb="FF131313"/>
        <sz val="12.0"/>
      </rPr>
      <t>URU</t>
    </r>
  </si>
  <si>
    <r>
      <rPr>
        <rFont val="Arial Narrow"/>
        <color theme="1"/>
        <sz val="12.0"/>
      </rPr>
      <t>Uruguay</t>
    </r>
  </si>
  <si>
    <r>
      <rPr>
        <rFont val="Arial Narrow"/>
        <color rgb="FF131313"/>
        <sz val="12.0"/>
      </rPr>
      <t>UZB</t>
    </r>
  </si>
  <si>
    <r>
      <rPr>
        <rFont val="Arial Narrow"/>
        <color theme="1"/>
        <sz val="12.0"/>
      </rPr>
      <t>Uzbekistan</t>
    </r>
  </si>
  <si>
    <r>
      <rPr>
        <rFont val="Arial Narrow"/>
        <color rgb="FF131313"/>
        <sz val="12.0"/>
      </rPr>
      <t>VAN</t>
    </r>
  </si>
  <si>
    <r>
      <rPr>
        <rFont val="Arial Narrow"/>
        <color theme="1"/>
        <sz val="12.0"/>
      </rPr>
      <t>Vanuatu</t>
    </r>
  </si>
  <si>
    <r>
      <rPr>
        <rFont val="Arial Narrow"/>
        <color rgb="FF131313"/>
        <sz val="12.0"/>
      </rPr>
      <t>VAT</t>
    </r>
  </si>
  <si>
    <r>
      <rPr>
        <rFont val="Arial Narrow"/>
        <color theme="1"/>
        <sz val="12.0"/>
      </rPr>
      <t>Vatican</t>
    </r>
  </si>
  <si>
    <r>
      <rPr>
        <rFont val="Arial Narrow"/>
        <color rgb="FF131313"/>
        <sz val="12.0"/>
      </rPr>
      <t>VEN</t>
    </r>
  </si>
  <si>
    <r>
      <rPr>
        <rFont val="Arial Narrow"/>
        <color theme="1"/>
        <sz val="12.0"/>
      </rPr>
      <t>Venezuela</t>
    </r>
  </si>
  <si>
    <r>
      <rPr>
        <rFont val="Arial Narrow"/>
        <color rgb="FF131313"/>
        <sz val="12.0"/>
      </rPr>
      <t>VIE</t>
    </r>
  </si>
  <si>
    <r>
      <rPr>
        <rFont val="Arial Narrow"/>
        <color theme="1"/>
        <sz val="12.0"/>
      </rPr>
      <t>Vietnam</t>
    </r>
  </si>
  <si>
    <r>
      <rPr>
        <rFont val="Arial Narrow"/>
        <color theme="1"/>
        <sz val="12.0"/>
      </rPr>
      <t>IVB</t>
    </r>
  </si>
  <si>
    <r>
      <rPr>
        <rFont val="Arial Narrow"/>
        <color theme="1"/>
        <sz val="12.0"/>
      </rPr>
      <t>Virgin Islands (British)</t>
    </r>
  </si>
  <si>
    <r>
      <rPr>
        <rFont val="Arial Narrow"/>
        <color rgb="FF131313"/>
        <sz val="12.0"/>
      </rPr>
      <t>ISV</t>
    </r>
  </si>
  <si>
    <r>
      <rPr>
        <rFont val="Arial Narrow"/>
        <color theme="1"/>
        <sz val="12.0"/>
      </rPr>
      <t>Virgin Islands (Us)</t>
    </r>
  </si>
  <si>
    <r>
      <rPr>
        <rFont val="Arial Narrow"/>
        <color rgb="FF131313"/>
        <sz val="12.0"/>
      </rPr>
      <t>YEM</t>
    </r>
  </si>
  <si>
    <r>
      <rPr>
        <rFont val="Arial Narrow"/>
        <color theme="1"/>
        <sz val="12.0"/>
      </rPr>
      <t>Yemen</t>
    </r>
  </si>
  <si>
    <r>
      <rPr>
        <rFont val="Arial Narrow"/>
        <color rgb="FF131313"/>
        <sz val="12.0"/>
      </rPr>
      <t>ZAM</t>
    </r>
  </si>
  <si>
    <r>
      <rPr>
        <rFont val="Arial Narrow"/>
        <color theme="1"/>
        <sz val="12.0"/>
      </rPr>
      <t>Zambia</t>
    </r>
  </si>
  <si>
    <r>
      <rPr>
        <rFont val="Arial Narrow"/>
        <color rgb="FF131313"/>
        <sz val="12.0"/>
      </rPr>
      <t>ZIM</t>
    </r>
  </si>
  <si>
    <r>
      <rPr>
        <rFont val="Arial Narrow"/>
        <color theme="1"/>
        <sz val="12.0"/>
      </rPr>
      <t>Zimbabwe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</si>
</sst>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/mm/dd"/>
  </numFmts>
  <fonts count="20">
    <font>
      <sz val="10.0"/>
      <color rgb="FF000000"/>
      <name val="Arial"/>
      <scheme val="minor"/>
    </font>
    <font>
      <sz val="10.0"/>
      <color theme="1"/>
      <name val="Calibri"/>
    </font>
    <font>
      <u/>
      <sz val="10.0"/>
      <color theme="10"/>
      <name val="Calibri"/>
    </font>
    <font>
      <sz val="10.0"/>
      <color theme="1"/>
      <name val="Arial"/>
    </font>
    <font>
      <sz val="10.0"/>
      <color rgb="FF202B5A"/>
      <name val="Calibri"/>
    </font>
    <font>
      <u/>
      <sz val="10.0"/>
      <color rgb="FF202B5A"/>
      <name val="Calibri"/>
    </font>
    <font>
      <b/>
      <sz val="16.0"/>
      <color rgb="FF0074FF"/>
      <name val="Calibri"/>
    </font>
    <font>
      <b/>
      <sz val="14.0"/>
      <color rgb="FF202B5A"/>
      <name val="Calibri"/>
    </font>
    <font>
      <b/>
      <sz val="10.0"/>
      <color rgb="FFFF0000"/>
      <name val="Calibri"/>
    </font>
    <font>
      <b/>
      <sz val="24.0"/>
      <color rgb="FF0074FF"/>
      <name val="Calibri"/>
    </font>
    <font>
      <b/>
      <sz val="22.0"/>
      <color rgb="FF202B5A"/>
      <name val="Calibri"/>
    </font>
    <font>
      <color rgb="FF202B5A"/>
      <name val="Calibri"/>
    </font>
    <font/>
    <font>
      <b/>
      <sz val="12.0"/>
      <color rgb="FF202B5A"/>
      <name val="Calibri"/>
    </font>
    <font>
      <sz val="11.0"/>
      <color theme="1"/>
      <name val="Arial Narrow"/>
    </font>
    <font>
      <b/>
      <sz val="10.0"/>
      <color theme="0"/>
      <name val="Calibri"/>
    </font>
    <font>
      <b/>
      <sz val="12.0"/>
      <color theme="1"/>
      <name val="Arial Narrow"/>
    </font>
    <font>
      <sz val="10.0"/>
      <color rgb="FF000000"/>
      <name val="Arial"/>
    </font>
    <font>
      <sz val="10.0"/>
      <color rgb="FFFF0000"/>
      <name val="Calibri"/>
    </font>
    <font>
      <sz val="12.0"/>
      <color theme="1"/>
      <name val="Arial Narrow"/>
    </font>
  </fonts>
  <fills count="7">
    <fill>
      <patternFill patternType="none"/>
    </fill>
    <fill>
      <patternFill patternType="lightGray"/>
    </fill>
    <fill>
      <patternFill patternType="solid">
        <fgColor rgb="FFD2F0FE"/>
        <bgColor rgb="FFD2F0FE"/>
      </patternFill>
    </fill>
    <fill>
      <patternFill patternType="solid">
        <fgColor rgb="FFFE4F3A"/>
        <bgColor rgb="FFFE4F3A"/>
      </patternFill>
    </fill>
    <fill>
      <patternFill patternType="solid">
        <fgColor rgb="FF0074FF"/>
        <bgColor rgb="FF0074FF"/>
      </patternFill>
    </fill>
    <fill>
      <patternFill patternType="solid">
        <fgColor rgb="FF949494"/>
        <bgColor rgb="FF949494"/>
      </patternFill>
    </fill>
    <fill>
      <patternFill patternType="solid">
        <fgColor rgb="FFE9ECF7"/>
        <bgColor rgb="FFE9ECF7"/>
      </patternFill>
    </fill>
  </fills>
  <borders count="4">
    <border/>
    <border>
      <bottom style="thick">
        <color rgb="FF0074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5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horizontal="left" vertical="center"/>
    </xf>
    <xf borderId="0" fillId="0" fontId="1" numFmtId="0" xfId="0" applyAlignment="1" applyFont="1">
      <alignment horizontal="left" vertical="center"/>
    </xf>
    <xf borderId="0" fillId="0" fontId="1" numFmtId="0" xfId="0" applyAlignment="1" applyFont="1">
      <alignment horizontal="center" vertical="center"/>
    </xf>
    <xf borderId="0" fillId="0" fontId="3" numFmtId="0" xfId="0" applyFont="1"/>
    <xf borderId="0" fillId="0" fontId="4" numFmtId="0" xfId="0" applyAlignment="1" applyFont="1">
      <alignment vertical="center"/>
    </xf>
    <xf borderId="0" fillId="0" fontId="5" numFmtId="0" xfId="0" applyAlignment="1" applyFont="1">
      <alignment horizontal="left" vertical="center"/>
    </xf>
    <xf borderId="0" fillId="0" fontId="4" numFmtId="0" xfId="0" applyAlignment="1" applyFont="1">
      <alignment horizontal="left" vertical="center"/>
    </xf>
    <xf borderId="0" fillId="0" fontId="4" numFmtId="0" xfId="0" applyAlignment="1" applyFont="1">
      <alignment horizontal="center" vertical="center"/>
    </xf>
    <xf borderId="0" fillId="0" fontId="6" numFmtId="0" xfId="0" applyAlignment="1" applyFont="1">
      <alignment horizontal="left" vertical="center"/>
    </xf>
    <xf borderId="0" fillId="0" fontId="7" numFmtId="0" xfId="0" applyAlignment="1" applyFont="1">
      <alignment vertical="center"/>
    </xf>
    <xf borderId="0" fillId="0" fontId="8" numFmtId="0" xfId="0" applyAlignment="1" applyFont="1">
      <alignment horizontal="left"/>
    </xf>
    <xf borderId="0" fillId="0" fontId="9" numFmtId="0" xfId="0" applyAlignment="1" applyFont="1">
      <alignment horizontal="left" vertical="center"/>
    </xf>
    <xf borderId="0" fillId="0" fontId="10" numFmtId="0" xfId="0" applyAlignment="1" applyFont="1">
      <alignment vertical="center"/>
    </xf>
    <xf borderId="0" fillId="0" fontId="1" numFmtId="0" xfId="0" applyAlignment="1" applyFont="1">
      <alignment readingOrder="0" vertical="center"/>
    </xf>
    <xf borderId="0" fillId="0" fontId="11" numFmtId="0" xfId="0" applyAlignment="1" applyFont="1">
      <alignment readingOrder="0" shrinkToFit="0" wrapText="0"/>
    </xf>
    <xf borderId="1" fillId="0" fontId="12" numFmtId="0" xfId="0" applyBorder="1" applyFont="1"/>
    <xf borderId="0" fillId="0" fontId="13" numFmtId="0" xfId="0" applyAlignment="1" applyFont="1">
      <alignment vertical="top"/>
    </xf>
    <xf borderId="0" fillId="0" fontId="13" numFmtId="0" xfId="0" applyAlignment="1" applyFont="1">
      <alignment vertical="center"/>
    </xf>
    <xf borderId="2" fillId="2" fontId="14" numFmtId="0" xfId="0" applyAlignment="1" applyBorder="1" applyFill="1" applyFont="1">
      <alignment horizontal="center" readingOrder="0" vertical="center"/>
    </xf>
    <xf borderId="2" fillId="3" fontId="15" numFmtId="0" xfId="0" applyAlignment="1" applyBorder="1" applyFill="1" applyFont="1">
      <alignment horizontal="center" shrinkToFit="0" wrapText="1"/>
    </xf>
    <xf borderId="2" fillId="3" fontId="15" numFmtId="0" xfId="0" applyAlignment="1" applyBorder="1" applyFont="1">
      <alignment horizontal="center" shrinkToFit="0" vertical="center" wrapText="1"/>
    </xf>
    <xf borderId="2" fillId="4" fontId="15" numFmtId="0" xfId="0" applyAlignment="1" applyBorder="1" applyFill="1" applyFont="1">
      <alignment horizontal="center" shrinkToFit="0" vertical="center" wrapText="1"/>
    </xf>
    <xf borderId="2" fillId="5" fontId="16" numFmtId="0" xfId="0" applyAlignment="1" applyBorder="1" applyFill="1" applyFont="1">
      <alignment horizontal="center" shrinkToFit="0" vertical="top" wrapText="1"/>
    </xf>
    <xf borderId="2" fillId="5" fontId="16" numFmtId="0" xfId="0" applyAlignment="1" applyBorder="1" applyFont="1">
      <alignment horizontal="left" shrinkToFit="0" vertical="top" wrapText="1"/>
    </xf>
    <xf borderId="0" fillId="0" fontId="17" numFmtId="0" xfId="0" applyAlignment="1" applyFont="1">
      <alignment horizontal="left" shrinkToFit="0" vertical="center" wrapText="1"/>
    </xf>
    <xf borderId="0" fillId="0" fontId="17" numFmtId="0" xfId="0" applyFont="1"/>
    <xf borderId="0" fillId="0" fontId="18" numFmtId="0" xfId="0" applyAlignment="1" applyFont="1">
      <alignment vertical="center"/>
    </xf>
    <xf borderId="2" fillId="0" fontId="1" numFmtId="0" xfId="0" applyAlignment="1" applyBorder="1" applyFont="1">
      <alignment horizontal="center" vertical="center"/>
    </xf>
    <xf borderId="2" fillId="0" fontId="8" numFmtId="0" xfId="0" applyAlignment="1" applyBorder="1" applyFont="1">
      <alignment horizontal="left" vertical="center"/>
    </xf>
    <xf borderId="2" fillId="0" fontId="8" numFmtId="0" xfId="0" applyAlignment="1" applyBorder="1" applyFont="1">
      <alignment horizontal="center" vertical="center"/>
    </xf>
    <xf borderId="2" fillId="0" fontId="8" numFmtId="0" xfId="0" applyAlignment="1" applyBorder="1" applyFont="1">
      <alignment horizontal="center" readingOrder="0" vertical="center"/>
    </xf>
    <xf borderId="2" fillId="0" fontId="19" numFmtId="0" xfId="0" applyAlignment="1" applyBorder="1" applyFont="1">
      <alignment horizontal="center" shrinkToFit="0" vertical="top" wrapText="1"/>
    </xf>
    <xf borderId="2" fillId="0" fontId="19" numFmtId="0" xfId="0" applyAlignment="1" applyBorder="1" applyFont="1">
      <alignment horizontal="left" shrinkToFit="0" vertical="top" wrapText="1"/>
    </xf>
    <xf borderId="0" fillId="0" fontId="17" numFmtId="0" xfId="0" applyAlignment="1" applyFont="1">
      <alignment horizontal="left" shrinkToFit="0" wrapText="1"/>
    </xf>
    <xf borderId="2" fillId="6" fontId="1" numFmtId="0" xfId="0" applyAlignment="1" applyBorder="1" applyFill="1" applyFont="1">
      <alignment horizontal="center" vertical="center"/>
    </xf>
    <xf borderId="2" fillId="6" fontId="4" numFmtId="0" xfId="0" applyAlignment="1" applyBorder="1" applyFont="1">
      <alignment horizontal="left" vertical="center"/>
    </xf>
    <xf borderId="2" fillId="6" fontId="4" numFmtId="0" xfId="0" applyAlignment="1" applyBorder="1" applyFont="1">
      <alignment horizontal="center" vertical="center"/>
    </xf>
    <xf borderId="2" fillId="6" fontId="4" numFmtId="164" xfId="0" applyAlignment="1" applyBorder="1" applyFont="1" applyNumberFormat="1">
      <alignment horizontal="center" vertical="center"/>
    </xf>
    <xf borderId="0" fillId="0" fontId="3" numFmtId="49" xfId="0" applyFont="1" applyNumberFormat="1"/>
    <xf borderId="2" fillId="0" fontId="4" numFmtId="0" xfId="0" applyAlignment="1" applyBorder="1" applyFont="1">
      <alignment horizontal="left" vertical="center"/>
    </xf>
    <xf borderId="2" fillId="0" fontId="4" numFmtId="0" xfId="0" applyAlignment="1" applyBorder="1" applyFont="1">
      <alignment horizontal="center" vertical="center"/>
    </xf>
    <xf borderId="2" fillId="0" fontId="4" numFmtId="164" xfId="0" applyAlignment="1" applyBorder="1" applyFont="1" applyNumberFormat="1">
      <alignment horizontal="center" vertical="center"/>
    </xf>
    <xf borderId="0" fillId="0" fontId="17" numFmtId="0" xfId="0" applyAlignment="1" applyFont="1">
      <alignment readingOrder="0"/>
    </xf>
    <xf borderId="2" fillId="0" fontId="8" numFmtId="164" xfId="0" applyAlignment="1" applyBorder="1" applyFont="1" applyNumberFormat="1">
      <alignment horizontal="center" vertical="center"/>
    </xf>
    <xf borderId="3" fillId="0" fontId="19" numFmtId="0" xfId="0" applyAlignment="1" applyBorder="1" applyFont="1">
      <alignment horizontal="center" shrinkToFit="0" vertical="top" wrapText="1"/>
    </xf>
    <xf borderId="3" fillId="0" fontId="19" numFmtId="0" xfId="0" applyAlignment="1" applyBorder="1" applyFont="1">
      <alignment horizontal="left" shrinkToFit="0" vertical="top" wrapText="1"/>
    </xf>
    <xf borderId="2" fillId="0" fontId="16" numFmtId="0" xfId="0" applyAlignment="1" applyBorder="1" applyFont="1">
      <alignment horizontal="left" shrinkToFit="0" vertical="top" wrapText="1"/>
    </xf>
    <xf borderId="2" fillId="0" fontId="17" numFmtId="0" xfId="0" applyAlignment="1" applyBorder="1" applyFont="1">
      <alignment horizontal="center" shrinkToFit="0" vertical="top" wrapText="1"/>
    </xf>
    <xf borderId="2" fillId="0" fontId="17" numFmtId="0" xfId="0" applyAlignment="1" applyBorder="1" applyFont="1">
      <alignment horizontal="left" shrinkToFit="0" vertical="top" wrapText="1"/>
    </xf>
    <xf borderId="3" fillId="0" fontId="19" numFmtId="0" xfId="0" applyAlignment="1" applyBorder="1" applyFont="1">
      <alignment horizontal="right" shrinkToFit="0" vertical="top" wrapText="1"/>
    </xf>
    <xf borderId="0" fillId="0" fontId="17" numFmtId="0" xfId="0" applyAlignment="1" applyFont="1">
      <alignment horizontal="left" vertical="top"/>
    </xf>
    <xf borderId="2" fillId="0" fontId="19" numFmtId="0" xfId="0" applyAlignment="1" applyBorder="1" applyFont="1">
      <alignment horizontal="right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jpg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933450</xdr:colOff>
      <xdr:row>0</xdr:row>
      <xdr:rowOff>76200</xdr:rowOff>
    </xdr:from>
    <xdr:ext cx="1905000" cy="1162050"/>
    <xdr:grpSp>
      <xdr:nvGrpSpPr>
        <xdr:cNvPr id="2" name="Shape 2"/>
        <xdr:cNvGrpSpPr/>
      </xdr:nvGrpSpPr>
      <xdr:grpSpPr>
        <a:xfrm>
          <a:off x="4393500" y="3198975"/>
          <a:ext cx="1905000" cy="1162050"/>
          <a:chOff x="4393500" y="3198975"/>
          <a:chExt cx="1905000" cy="1162050"/>
        </a:xfrm>
      </xdr:grpSpPr>
      <xdr:grpSp>
        <xdr:nvGrpSpPr>
          <xdr:cNvPr id="3" name="Shape 3" title="Drawing"/>
          <xdr:cNvGrpSpPr/>
        </xdr:nvGrpSpPr>
        <xdr:grpSpPr>
          <a:xfrm>
            <a:off x="4393500" y="3198975"/>
            <a:ext cx="1905000" cy="1162050"/>
            <a:chOff x="4393500" y="3146588"/>
            <a:chExt cx="1905000" cy="1266825"/>
          </a:xfrm>
        </xdr:grpSpPr>
        <xdr:sp>
          <xdr:nvSpPr>
            <xdr:cNvPr id="4" name="Shape 4"/>
            <xdr:cNvSpPr/>
          </xdr:nvSpPr>
          <xdr:spPr>
            <a:xfrm>
              <a:off x="4393500" y="3146588"/>
              <a:ext cx="1905000" cy="12668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5" name="Shape 5"/>
            <xdr:cNvGrpSpPr/>
          </xdr:nvGrpSpPr>
          <xdr:grpSpPr>
            <a:xfrm>
              <a:off x="4393500" y="3146588"/>
              <a:ext cx="1905000" cy="1266825"/>
              <a:chOff x="4393500" y="3146588"/>
              <a:chExt cx="1905000" cy="1266825"/>
            </a:xfrm>
          </xdr:grpSpPr>
          <xdr:sp>
            <xdr:nvSpPr>
              <xdr:cNvPr id="6" name="Shape 6"/>
              <xdr:cNvSpPr/>
            </xdr:nvSpPr>
            <xdr:spPr>
              <a:xfrm>
                <a:off x="4393500" y="3146588"/>
                <a:ext cx="1905000" cy="12668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grpSp>
            <xdr:nvGrpSpPr>
              <xdr:cNvPr id="7" name="Shape 7"/>
              <xdr:cNvGrpSpPr/>
            </xdr:nvGrpSpPr>
            <xdr:grpSpPr>
              <a:xfrm>
                <a:off x="4393500" y="3146588"/>
                <a:ext cx="1905000" cy="1266825"/>
                <a:chOff x="10561320" y="0"/>
                <a:chExt cx="2132896" cy="1404225"/>
              </a:xfrm>
            </xdr:grpSpPr>
            <xdr:sp>
              <xdr:nvSpPr>
                <xdr:cNvPr id="8" name="Shape 8"/>
                <xdr:cNvSpPr/>
              </xdr:nvSpPr>
              <xdr:spPr>
                <a:xfrm>
                  <a:off x="10561320" y="0"/>
                  <a:ext cx="2132875" cy="14042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anchorCtr="0" anchor="ctr" bIns="91425" lIns="91425" spcFirstLastPara="1" rIns="91425" wrap="square" tIns="91425">
                  <a:noAutofit/>
                </a:bodyPr>
                <a:lstStyle/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r>
                    <a:t/>
                  </a:r>
                  <a:endParaRPr sz="1400"/>
                </a:p>
              </xdr:txBody>
            </xdr:sp>
            <xdr:pic>
              <xdr:nvPicPr>
                <xdr:cNvPr id="9" name="Shape 9"/>
                <xdr:cNvPicPr preferRelativeResize="0"/>
              </xdr:nvPicPr>
              <xdr:blipFill rotWithShape="1">
                <a:blip r:embed="rId1">
                  <a:alphaModFix/>
                </a:blip>
                <a:srcRect b="0" l="0" r="0" t="0"/>
                <a:stretch/>
              </xdr:blipFill>
              <xdr:spPr>
                <a:xfrm>
                  <a:off x="10561320" y="0"/>
                  <a:ext cx="1440180" cy="1404225"/>
                </a:xfrm>
                <a:prstGeom prst="rect">
                  <a:avLst/>
                </a:prstGeom>
                <a:noFill/>
                <a:ln>
                  <a:noFill/>
                </a:ln>
              </xdr:spPr>
            </xdr:pic>
            <xdr:pic>
              <xdr:nvPicPr>
                <xdr:cNvPr id="10" name="Shape 10"/>
                <xdr:cNvPicPr preferRelativeResize="0"/>
              </xdr:nvPicPr>
              <xdr:blipFill rotWithShape="1">
                <a:blip r:embed="rId2">
                  <a:alphaModFix/>
                </a:blip>
                <a:srcRect b="0" l="0" r="0" t="0"/>
                <a:stretch/>
              </xdr:blipFill>
              <xdr:spPr>
                <a:xfrm>
                  <a:off x="11986964" y="228600"/>
                  <a:ext cx="707252" cy="922020"/>
                </a:xfrm>
                <a:prstGeom prst="rect">
                  <a:avLst/>
                </a:prstGeom>
                <a:noFill/>
                <a:ln>
                  <a:noFill/>
                </a:ln>
              </xdr:spPr>
            </xdr:pic>
          </xdr:grpSp>
        </xdr:grpSp>
      </xdr:grpSp>
    </xdr:grpSp>
    <xdr:clientData fLocksWithSheet="0"/>
  </xdr:oneCellAnchor>
  <xdr:oneCellAnchor>
    <xdr:from>
      <xdr:col>309</xdr:col>
      <xdr:colOff>76200</xdr:colOff>
      <xdr:row>74</xdr:row>
      <xdr:rowOff>-9525</xdr:rowOff>
    </xdr:from>
    <xdr:ext cx="1828800" cy="38100"/>
    <xdr:sp>
      <xdr:nvSpPr>
        <xdr:cNvPr id="11" name="Shape 11"/>
        <xdr:cNvSpPr/>
      </xdr:nvSpPr>
      <xdr:spPr>
        <a:xfrm>
          <a:off x="4430965" y="3775238"/>
          <a:ext cx="1830070" cy="9525"/>
        </a:xfrm>
        <a:custGeom>
          <a:rect b="b" l="l" r="r" t="t"/>
          <a:pathLst>
            <a:path extrusionOk="0" h="9525" w="1830070">
              <a:moveTo>
                <a:pt x="1829816" y="0"/>
              </a:moveTo>
              <a:lnTo>
                <a:pt x="0" y="0"/>
              </a:lnTo>
              <a:lnTo>
                <a:pt x="0" y="9524"/>
              </a:lnTo>
              <a:lnTo>
                <a:pt x="1829816" y="9524"/>
              </a:lnTo>
              <a:lnTo>
                <a:pt x="1829816" y="0"/>
              </a:lnTo>
              <a:close/>
            </a:path>
          </a:pathLst>
        </a:custGeom>
        <a:solidFill>
          <a:srgbClr val="000000"/>
        </a:solidFill>
        <a:ln>
          <a:noFill/>
        </a:ln>
      </xdr:spPr>
    </xdr:sp>
    <xdr:clientData fLocksWithSheet="0"/>
  </xdr:oneCellAnchor>
  <xdr:oneCellAnchor>
    <xdr:from>
      <xdr:col>309</xdr:col>
      <xdr:colOff>76200</xdr:colOff>
      <xdr:row>105</xdr:row>
      <xdr:rowOff>-9525</xdr:rowOff>
    </xdr:from>
    <xdr:ext cx="1828800" cy="38100"/>
    <xdr:sp>
      <xdr:nvSpPr>
        <xdr:cNvPr id="11" name="Shape 11"/>
        <xdr:cNvSpPr/>
      </xdr:nvSpPr>
      <xdr:spPr>
        <a:xfrm>
          <a:off x="4430965" y="3775238"/>
          <a:ext cx="1830070" cy="9525"/>
        </a:xfrm>
        <a:custGeom>
          <a:rect b="b" l="l" r="r" t="t"/>
          <a:pathLst>
            <a:path extrusionOk="0" h="9525" w="1830070">
              <a:moveTo>
                <a:pt x="1829816" y="0"/>
              </a:moveTo>
              <a:lnTo>
                <a:pt x="0" y="0"/>
              </a:lnTo>
              <a:lnTo>
                <a:pt x="0" y="9524"/>
              </a:lnTo>
              <a:lnTo>
                <a:pt x="1829816" y="9524"/>
              </a:lnTo>
              <a:lnTo>
                <a:pt x="1829816" y="0"/>
              </a:lnTo>
              <a:close/>
            </a:path>
          </a:pathLst>
        </a:custGeom>
        <a:solidFill>
          <a:srgbClr val="000000"/>
        </a:solidFill>
        <a:ln>
          <a:noFill/>
        </a:ln>
      </xdr:spPr>
    </xdr:sp>
    <xdr:clientData fLocksWithSheet="0"/>
  </xdr:oneCellAnchor>
  <xdr:oneCellAnchor>
    <xdr:from>
      <xdr:col>309</xdr:col>
      <xdr:colOff>76200</xdr:colOff>
      <xdr:row>138</xdr:row>
      <xdr:rowOff>-9525</xdr:rowOff>
    </xdr:from>
    <xdr:ext cx="1828800" cy="38100"/>
    <xdr:sp>
      <xdr:nvSpPr>
        <xdr:cNvPr id="11" name="Shape 11"/>
        <xdr:cNvSpPr/>
      </xdr:nvSpPr>
      <xdr:spPr>
        <a:xfrm>
          <a:off x="4430965" y="3775238"/>
          <a:ext cx="1830070" cy="9525"/>
        </a:xfrm>
        <a:custGeom>
          <a:rect b="b" l="l" r="r" t="t"/>
          <a:pathLst>
            <a:path extrusionOk="0" h="9525" w="1830070">
              <a:moveTo>
                <a:pt x="1829816" y="0"/>
              </a:moveTo>
              <a:lnTo>
                <a:pt x="0" y="0"/>
              </a:lnTo>
              <a:lnTo>
                <a:pt x="0" y="9524"/>
              </a:lnTo>
              <a:lnTo>
                <a:pt x="1829816" y="9524"/>
              </a:lnTo>
              <a:lnTo>
                <a:pt x="1829816" y="0"/>
              </a:lnTo>
              <a:close/>
            </a:path>
          </a:pathLst>
        </a:custGeom>
        <a:solidFill>
          <a:srgbClr val="000000"/>
        </a:solidFill>
        <a:ln>
          <a:noFill/>
        </a:ln>
      </xdr:spPr>
    </xdr:sp>
    <xdr:clientData fLocksWithSheet="0"/>
  </xdr:oneCellAnchor>
  <xdr:oneCellAnchor>
    <xdr:from>
      <xdr:col>309</xdr:col>
      <xdr:colOff>76200</xdr:colOff>
      <xdr:row>169</xdr:row>
      <xdr:rowOff>-9525</xdr:rowOff>
    </xdr:from>
    <xdr:ext cx="1828800" cy="38100"/>
    <xdr:sp>
      <xdr:nvSpPr>
        <xdr:cNvPr id="11" name="Shape 11"/>
        <xdr:cNvSpPr/>
      </xdr:nvSpPr>
      <xdr:spPr>
        <a:xfrm>
          <a:off x="4430965" y="3775238"/>
          <a:ext cx="1830070" cy="9525"/>
        </a:xfrm>
        <a:custGeom>
          <a:rect b="b" l="l" r="r" t="t"/>
          <a:pathLst>
            <a:path extrusionOk="0" h="9525" w="1830070">
              <a:moveTo>
                <a:pt x="1829816" y="0"/>
              </a:moveTo>
              <a:lnTo>
                <a:pt x="0" y="0"/>
              </a:lnTo>
              <a:lnTo>
                <a:pt x="0" y="9524"/>
              </a:lnTo>
              <a:lnTo>
                <a:pt x="1829816" y="9524"/>
              </a:lnTo>
              <a:lnTo>
                <a:pt x="1829816" y="0"/>
              </a:lnTo>
              <a:close/>
            </a:path>
          </a:pathLst>
        </a:custGeom>
        <a:solidFill>
          <a:srgbClr val="000000"/>
        </a:solidFill>
        <a:ln>
          <a:noFill/>
        </a:ln>
      </xdr:spPr>
    </xdr:sp>
    <xdr:clientData fLocksWithSheet="0"/>
  </xdr:oneCellAnchor>
  <xdr:oneCellAnchor>
    <xdr:from>
      <xdr:col>1</xdr:col>
      <xdr:colOff>19050</xdr:colOff>
      <xdr:row>0</xdr:row>
      <xdr:rowOff>38100</xdr:rowOff>
    </xdr:from>
    <xdr:ext cx="1352550" cy="1362075"/>
    <xdr:pic>
      <xdr:nvPicPr>
        <xdr:cNvPr id="0" name="image1.png" title="Imagen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1.38"/>
    <col customWidth="1" min="2" max="2" width="3.88"/>
    <col customWidth="1" min="3" max="3" width="16.13"/>
    <col customWidth="1" min="4" max="4" width="25.13"/>
    <col customWidth="1" min="5" max="5" width="9.5"/>
    <col customWidth="1" min="6" max="6" width="20.63"/>
    <col customWidth="1" min="7" max="7" width="23.0"/>
    <col customWidth="1" min="8" max="8" width="14.88"/>
    <col customWidth="1" min="9" max="9" width="11.0"/>
    <col customWidth="1" min="10" max="10" width="13.0"/>
    <col customWidth="1" min="11" max="12" width="14.88"/>
    <col customWidth="1" min="13" max="13" width="17.38"/>
    <col customWidth="1" min="14" max="14" width="14.63"/>
    <col customWidth="1" min="15" max="15" width="13.63"/>
    <col customWidth="1" min="16" max="22" width="7.38"/>
    <col customWidth="1" min="23" max="24" width="18.63"/>
    <col customWidth="1" min="25" max="25" width="20.38"/>
    <col customWidth="1" min="26" max="26" width="22.63"/>
    <col customWidth="1" min="27" max="27" width="23.63"/>
    <col customWidth="1" min="28" max="39" width="14.13"/>
    <col customWidth="1" min="40" max="41" width="21.38"/>
    <col customWidth="1" min="42" max="43" width="19.13"/>
    <col customWidth="1" min="44" max="44" width="21.0"/>
    <col customWidth="1" min="45" max="45" width="24.0"/>
    <col customWidth="1" min="46" max="46" width="25.5"/>
    <col customWidth="1" min="47" max="48" width="20.13"/>
    <col customWidth="1" min="49" max="49" width="17.38"/>
    <col customWidth="1" min="50" max="50" width="18.38"/>
    <col customWidth="1" min="51" max="57" width="13.63"/>
    <col customWidth="1" min="58" max="58" width="14.0"/>
    <col customWidth="1" min="59" max="59" width="13.63"/>
    <col customWidth="1" min="60" max="60" width="16.38"/>
    <col customWidth="1" min="61" max="63" width="13.63"/>
    <col customWidth="1" min="64" max="64" width="14.0"/>
    <col customWidth="1" min="65" max="65" width="13.63"/>
    <col customWidth="1" min="66" max="66" width="14.13"/>
    <col customWidth="1" min="67" max="67" width="16.63"/>
    <col customWidth="1" min="68" max="68" width="22.0"/>
    <col customWidth="1" min="69" max="70" width="17.5"/>
    <col customWidth="1" min="71" max="72" width="12.5"/>
    <col customWidth="1" min="73" max="73" width="17.5"/>
    <col customWidth="1" min="74" max="74" width="12.5"/>
    <col customWidth="1" min="75" max="75" width="15.0"/>
    <col customWidth="1" min="76" max="76" width="12.5"/>
    <col customWidth="1" min="77" max="77" width="25.63"/>
    <col customWidth="1" min="78" max="79" width="14.38"/>
    <col customWidth="1" min="80" max="80" width="13.88"/>
    <col customWidth="1" min="81" max="81" width="16.63"/>
    <col customWidth="1" min="82" max="82" width="13.38"/>
    <col customWidth="1" min="83" max="83" width="10.88"/>
    <col customWidth="1" min="84" max="84" width="10.63"/>
    <col customWidth="1" min="85" max="86" width="11.5"/>
    <col customWidth="1" min="87" max="99" width="10.13"/>
    <col customWidth="1" min="100" max="100" width="11.88"/>
    <col customWidth="1" min="101" max="110" width="19.5"/>
    <col customWidth="1" min="111" max="113" width="17.38"/>
    <col customWidth="1" min="114" max="114" width="23.0"/>
    <col customWidth="1" min="115" max="115" width="21.13"/>
    <col customWidth="1" min="116" max="116" width="23.0"/>
    <col customWidth="1" min="117" max="118" width="15.88"/>
    <col customWidth="1" min="119" max="124" width="15.5"/>
    <col customWidth="1" min="125" max="126" width="23.5"/>
    <col customWidth="1" min="127" max="128" width="24.5"/>
    <col customWidth="1" min="129" max="130" width="15.63"/>
    <col customWidth="1" min="131" max="132" width="18.5"/>
    <col customWidth="1" min="133" max="133" width="12.88"/>
    <col customWidth="1" min="134" max="134" width="12.63"/>
    <col customWidth="1" min="135" max="135" width="11.88"/>
    <col customWidth="1" min="136" max="136" width="11.5"/>
    <col customWidth="1" min="137" max="138" width="11.38"/>
    <col customWidth="1" min="139" max="143" width="16.5"/>
    <col customWidth="1" min="144" max="144" width="10.13"/>
    <col customWidth="1" min="145" max="154" width="19.63"/>
    <col customWidth="1" min="155" max="162" width="19.0"/>
    <col customWidth="1" min="163" max="164" width="20.88"/>
    <col customWidth="1" min="165" max="165" width="8.5"/>
    <col customWidth="1" min="166" max="166" width="17.0"/>
    <col customWidth="1" min="167" max="180" width="8.88"/>
    <col customWidth="1" min="181" max="181" width="10.0"/>
    <col customWidth="1" min="182" max="185" width="12.13"/>
    <col customWidth="1" min="186" max="186" width="12.5"/>
    <col customWidth="1" min="187" max="189" width="11.5"/>
    <col customWidth="1" min="190" max="191" width="11.88"/>
    <col customWidth="1" min="192" max="192" width="10.13"/>
    <col customWidth="1" min="193" max="202" width="22.88"/>
    <col customWidth="1" min="203" max="207" width="14.13"/>
    <col customWidth="1" min="208" max="208" width="15.0"/>
    <col customWidth="1" min="209" max="213" width="13.13"/>
    <col customWidth="1" min="214" max="214" width="14.0"/>
    <col customWidth="1" min="215" max="220" width="12.5"/>
    <col customWidth="1" min="221" max="221" width="17.88"/>
    <col customWidth="1" min="222" max="225" width="18.13"/>
    <col customWidth="1" min="226" max="227" width="15.5"/>
    <col customWidth="1" min="228" max="228" width="23.13"/>
    <col customWidth="1" min="229" max="229" width="25.0"/>
    <col customWidth="1" min="230" max="230" width="20.0"/>
    <col customWidth="1" min="231" max="231" width="14.13"/>
    <col customWidth="1" min="232" max="234" width="20.38"/>
    <col customWidth="1" min="235" max="238" width="13.13"/>
    <col customWidth="1" min="239" max="251" width="10.63"/>
    <col customWidth="1" min="252" max="252" width="11.5"/>
    <col customWidth="1" min="253" max="256" width="11.13"/>
    <col customWidth="1" min="257" max="260" width="8.5"/>
    <col customWidth="1" min="261" max="268" width="14.38"/>
    <col customWidth="1" min="269" max="269" width="22.0"/>
    <col customWidth="1" min="270" max="270" width="17.5"/>
    <col customWidth="1" min="271" max="272" width="9.5"/>
    <col customWidth="1" min="273" max="273" width="10.88"/>
    <col customWidth="1" min="274" max="277" width="15.5"/>
    <col customWidth="1" min="278" max="278" width="14.5"/>
    <col customWidth="1" min="279" max="279" width="15.5"/>
    <col customWidth="1" min="280" max="281" width="14.5"/>
    <col customWidth="1" min="282" max="282" width="15.63"/>
    <col customWidth="1" min="283" max="283" width="17.88"/>
    <col customWidth="1" min="284" max="284" width="15.63"/>
    <col customWidth="1" min="285" max="285" width="12.5"/>
    <col customWidth="1" min="286" max="286" width="14.0"/>
    <col customWidth="1" min="287" max="287" width="20.5"/>
    <col customWidth="1" min="288" max="288" width="15.88"/>
    <col customWidth="1" min="289" max="290" width="8.88"/>
    <col customWidth="1" min="291" max="291" width="17.0"/>
    <col customWidth="1" min="292" max="292" width="18.38"/>
    <col customWidth="1" min="293" max="293" width="9.5"/>
    <col customWidth="1" min="294" max="294" width="10.88"/>
    <col customWidth="1" min="295" max="295" width="11.13"/>
    <col customWidth="1" min="296" max="296" width="15.38"/>
    <col customWidth="1" min="297" max="298" width="10.63"/>
    <col customWidth="1" min="299" max="299" width="10.38"/>
    <col customWidth="1" min="300" max="300" width="8.88"/>
    <col customWidth="1" min="301" max="301" width="10.38"/>
    <col customWidth="1" min="302" max="302" width="12.88"/>
    <col customWidth="1" min="303" max="303" width="20.5"/>
    <col customWidth="1" min="304" max="304" width="15.13"/>
    <col customWidth="1" min="305" max="305" width="17.5"/>
    <col customWidth="1" min="306" max="306" width="12.0"/>
    <col customWidth="1" min="307" max="307" width="15.88"/>
    <col customWidth="1" min="308" max="308" width="8.0"/>
    <col customWidth="1" min="309" max="309" width="7.88"/>
    <col customWidth="1" min="311" max="311" width="19.63"/>
    <col customWidth="1" min="314" max="314" width="24.38"/>
  </cols>
  <sheetData>
    <row r="1" ht="13.5" customHeight="1">
      <c r="A1" s="1"/>
      <c r="B1" s="2"/>
      <c r="D1" s="1"/>
      <c r="E1" s="3"/>
      <c r="F1" s="3"/>
      <c r="G1" s="3"/>
      <c r="H1" s="4"/>
      <c r="I1" s="4"/>
      <c r="J1" s="1"/>
      <c r="K1" s="5"/>
      <c r="L1" s="5"/>
      <c r="M1" s="5"/>
      <c r="N1" s="5"/>
      <c r="O1" s="5"/>
      <c r="P1" s="5"/>
      <c r="Q1" s="5"/>
      <c r="R1" s="1"/>
      <c r="S1" s="1"/>
      <c r="T1" s="1"/>
      <c r="U1" s="1"/>
      <c r="V1" s="1">
        <v>1.0</v>
      </c>
      <c r="W1" s="5">
        <v>2.0</v>
      </c>
      <c r="X1" s="5">
        <v>3.0</v>
      </c>
      <c r="Y1" s="1">
        <v>4.0</v>
      </c>
      <c r="Z1" s="5">
        <v>5.0</v>
      </c>
      <c r="AA1" s="5">
        <v>6.0</v>
      </c>
      <c r="AB1" s="1">
        <v>7.0</v>
      </c>
      <c r="AC1" s="5">
        <v>8.0</v>
      </c>
      <c r="AD1" s="5">
        <v>9.0</v>
      </c>
      <c r="AE1" s="1">
        <v>10.0</v>
      </c>
      <c r="AF1" s="5">
        <v>11.0</v>
      </c>
      <c r="AG1" s="5">
        <v>12.0</v>
      </c>
      <c r="AH1" s="1">
        <v>13.0</v>
      </c>
      <c r="AI1" s="5">
        <v>14.0</v>
      </c>
      <c r="AJ1" s="5">
        <v>15.0</v>
      </c>
      <c r="AK1" s="1">
        <v>16.0</v>
      </c>
      <c r="AL1" s="5">
        <v>17.0</v>
      </c>
      <c r="AM1" s="5">
        <v>18.0</v>
      </c>
      <c r="AN1" s="1">
        <v>19.0</v>
      </c>
      <c r="AO1" s="5">
        <v>20.0</v>
      </c>
      <c r="AP1" s="5">
        <v>21.0</v>
      </c>
      <c r="AQ1" s="1">
        <v>22.0</v>
      </c>
      <c r="AR1" s="5">
        <v>23.0</v>
      </c>
      <c r="AS1" s="5">
        <v>24.0</v>
      </c>
      <c r="AT1" s="1">
        <v>25.0</v>
      </c>
      <c r="AU1" s="5">
        <v>26.0</v>
      </c>
      <c r="AV1" s="5">
        <v>27.0</v>
      </c>
      <c r="AW1" s="1">
        <v>28.0</v>
      </c>
      <c r="AX1" s="5">
        <v>29.0</v>
      </c>
      <c r="AY1" s="5">
        <v>30.0</v>
      </c>
      <c r="AZ1" s="1">
        <v>31.0</v>
      </c>
      <c r="BA1" s="5">
        <v>32.0</v>
      </c>
      <c r="BB1" s="5">
        <v>33.0</v>
      </c>
      <c r="BC1" s="1">
        <v>34.0</v>
      </c>
      <c r="BD1" s="5">
        <v>35.0</v>
      </c>
      <c r="BE1" s="5">
        <v>36.0</v>
      </c>
      <c r="BF1" s="1">
        <v>37.0</v>
      </c>
      <c r="BG1" s="5">
        <v>38.0</v>
      </c>
      <c r="BH1" s="5">
        <v>39.0</v>
      </c>
      <c r="BI1" s="1">
        <v>40.0</v>
      </c>
      <c r="BJ1" s="5">
        <v>41.0</v>
      </c>
      <c r="BK1" s="5">
        <v>42.0</v>
      </c>
      <c r="BL1" s="1">
        <v>43.0</v>
      </c>
      <c r="BM1" s="5">
        <v>44.0</v>
      </c>
      <c r="BN1" s="5">
        <v>45.0</v>
      </c>
      <c r="BO1" s="1">
        <v>46.0</v>
      </c>
      <c r="BP1" s="5">
        <v>47.0</v>
      </c>
      <c r="BQ1" s="5">
        <v>48.0</v>
      </c>
      <c r="BR1" s="1">
        <v>49.0</v>
      </c>
      <c r="BS1" s="5">
        <v>50.0</v>
      </c>
      <c r="BT1" s="5">
        <v>51.0</v>
      </c>
      <c r="BU1" s="1">
        <v>52.0</v>
      </c>
      <c r="BV1" s="5">
        <v>53.0</v>
      </c>
      <c r="BW1" s="5">
        <v>54.0</v>
      </c>
      <c r="BX1" s="1">
        <v>55.0</v>
      </c>
      <c r="BY1" s="5">
        <v>56.0</v>
      </c>
      <c r="BZ1" s="5">
        <v>57.0</v>
      </c>
      <c r="CA1" s="1">
        <v>58.0</v>
      </c>
      <c r="CB1" s="5">
        <v>59.0</v>
      </c>
      <c r="CC1" s="5">
        <v>60.0</v>
      </c>
      <c r="CD1" s="1">
        <v>61.0</v>
      </c>
      <c r="CE1" s="5">
        <v>62.0</v>
      </c>
      <c r="CF1" s="5">
        <v>63.0</v>
      </c>
      <c r="CG1" s="1">
        <v>64.0</v>
      </c>
      <c r="CH1" s="5">
        <v>65.0</v>
      </c>
      <c r="CI1" s="5">
        <v>66.0</v>
      </c>
      <c r="CJ1" s="1">
        <v>67.0</v>
      </c>
      <c r="CK1" s="5">
        <v>68.0</v>
      </c>
      <c r="CL1" s="5">
        <v>69.0</v>
      </c>
      <c r="CM1" s="1">
        <v>70.0</v>
      </c>
      <c r="CN1" s="5">
        <v>71.0</v>
      </c>
      <c r="CO1" s="5">
        <v>72.0</v>
      </c>
      <c r="CP1" s="1">
        <v>73.0</v>
      </c>
      <c r="CQ1" s="5">
        <v>74.0</v>
      </c>
      <c r="CR1" s="5">
        <v>75.0</v>
      </c>
      <c r="CS1" s="1">
        <v>76.0</v>
      </c>
      <c r="CT1" s="5">
        <v>77.0</v>
      </c>
      <c r="CU1" s="5">
        <v>78.0</v>
      </c>
      <c r="CV1" s="1">
        <v>79.0</v>
      </c>
      <c r="CW1" s="5">
        <v>80.0</v>
      </c>
      <c r="CX1" s="5">
        <v>81.0</v>
      </c>
      <c r="CY1" s="1">
        <v>82.0</v>
      </c>
      <c r="CZ1" s="5">
        <v>83.0</v>
      </c>
      <c r="DA1" s="5">
        <v>84.0</v>
      </c>
      <c r="DB1" s="1">
        <v>85.0</v>
      </c>
      <c r="DC1" s="5">
        <v>86.0</v>
      </c>
      <c r="DD1" s="5">
        <v>87.0</v>
      </c>
      <c r="DE1" s="1">
        <v>88.0</v>
      </c>
      <c r="DF1" s="5">
        <v>89.0</v>
      </c>
      <c r="DG1" s="5">
        <v>90.0</v>
      </c>
      <c r="DH1" s="1">
        <v>91.0</v>
      </c>
      <c r="DI1" s="5">
        <v>92.0</v>
      </c>
      <c r="DJ1" s="5">
        <v>93.0</v>
      </c>
      <c r="DK1" s="1">
        <v>94.0</v>
      </c>
      <c r="DL1" s="5">
        <v>95.0</v>
      </c>
      <c r="DM1" s="5">
        <v>96.0</v>
      </c>
      <c r="DN1" s="1">
        <v>97.0</v>
      </c>
      <c r="DO1" s="5">
        <v>98.0</v>
      </c>
      <c r="DP1" s="5">
        <v>99.0</v>
      </c>
      <c r="DQ1" s="1">
        <v>100.0</v>
      </c>
      <c r="DR1" s="5">
        <v>101.0</v>
      </c>
      <c r="DS1" s="5">
        <v>102.0</v>
      </c>
      <c r="DT1" s="1">
        <v>103.0</v>
      </c>
      <c r="DU1" s="5">
        <v>104.0</v>
      </c>
      <c r="DV1" s="5">
        <v>105.0</v>
      </c>
      <c r="DW1" s="1">
        <v>106.0</v>
      </c>
      <c r="DX1" s="5">
        <v>107.0</v>
      </c>
      <c r="DY1" s="5">
        <v>108.0</v>
      </c>
      <c r="DZ1" s="1">
        <v>109.0</v>
      </c>
      <c r="EA1" s="5">
        <v>110.0</v>
      </c>
      <c r="EB1" s="5">
        <v>111.0</v>
      </c>
      <c r="EC1" s="1">
        <v>112.0</v>
      </c>
      <c r="ED1" s="5">
        <v>113.0</v>
      </c>
      <c r="EE1" s="5">
        <v>114.0</v>
      </c>
      <c r="EF1" s="1">
        <v>115.0</v>
      </c>
      <c r="EG1" s="5">
        <v>116.0</v>
      </c>
      <c r="EH1" s="5">
        <v>117.0</v>
      </c>
      <c r="EI1" s="1">
        <v>118.0</v>
      </c>
      <c r="EJ1" s="5">
        <v>119.0</v>
      </c>
      <c r="EK1" s="5">
        <v>120.0</v>
      </c>
      <c r="EL1" s="1">
        <v>121.0</v>
      </c>
      <c r="EM1" s="5">
        <v>122.0</v>
      </c>
      <c r="EN1" s="5">
        <v>123.0</v>
      </c>
      <c r="EO1" s="1">
        <v>124.0</v>
      </c>
      <c r="EP1" s="5">
        <v>125.0</v>
      </c>
      <c r="EQ1" s="5">
        <v>126.0</v>
      </c>
      <c r="ER1" s="1">
        <v>127.0</v>
      </c>
      <c r="ES1" s="5">
        <v>128.0</v>
      </c>
      <c r="ET1" s="5">
        <v>129.0</v>
      </c>
      <c r="EU1" s="1">
        <v>130.0</v>
      </c>
      <c r="EV1" s="5">
        <v>131.0</v>
      </c>
      <c r="EW1" s="5">
        <v>132.0</v>
      </c>
      <c r="EX1" s="1">
        <v>133.0</v>
      </c>
      <c r="EY1" s="5">
        <v>134.0</v>
      </c>
      <c r="EZ1" s="5">
        <v>135.0</v>
      </c>
      <c r="FA1" s="1">
        <v>136.0</v>
      </c>
      <c r="FB1" s="5">
        <v>137.0</v>
      </c>
      <c r="FC1" s="5">
        <v>138.0</v>
      </c>
      <c r="FD1" s="1">
        <v>139.0</v>
      </c>
      <c r="FE1" s="5">
        <v>140.0</v>
      </c>
      <c r="FF1" s="5">
        <v>141.0</v>
      </c>
      <c r="FG1" s="1">
        <v>142.0</v>
      </c>
      <c r="FH1" s="5">
        <v>143.0</v>
      </c>
      <c r="FI1" s="5">
        <v>144.0</v>
      </c>
      <c r="FJ1" s="1">
        <v>145.0</v>
      </c>
      <c r="FK1" s="5">
        <v>146.0</v>
      </c>
      <c r="FL1" s="5">
        <v>147.0</v>
      </c>
      <c r="FM1" s="1">
        <v>148.0</v>
      </c>
      <c r="FN1" s="5">
        <v>149.0</v>
      </c>
      <c r="FO1" s="5">
        <v>150.0</v>
      </c>
      <c r="FP1" s="1">
        <v>151.0</v>
      </c>
      <c r="FQ1" s="5">
        <v>152.0</v>
      </c>
      <c r="FR1" s="5">
        <v>153.0</v>
      </c>
      <c r="FS1" s="1">
        <v>154.0</v>
      </c>
      <c r="FT1" s="5">
        <v>155.0</v>
      </c>
      <c r="FU1" s="5">
        <v>156.0</v>
      </c>
      <c r="FV1" s="1">
        <v>157.0</v>
      </c>
      <c r="FW1" s="5">
        <v>158.0</v>
      </c>
      <c r="FX1" s="5">
        <v>159.0</v>
      </c>
      <c r="FY1" s="1">
        <v>160.0</v>
      </c>
      <c r="FZ1" s="5">
        <v>161.0</v>
      </c>
      <c r="GA1" s="5">
        <v>162.0</v>
      </c>
      <c r="GB1" s="1">
        <v>163.0</v>
      </c>
      <c r="GC1" s="5">
        <v>164.0</v>
      </c>
      <c r="GD1" s="5">
        <v>165.0</v>
      </c>
      <c r="GE1" s="1">
        <v>166.0</v>
      </c>
      <c r="GF1" s="5">
        <v>167.0</v>
      </c>
      <c r="GG1" s="5">
        <v>168.0</v>
      </c>
      <c r="GH1" s="1">
        <v>169.0</v>
      </c>
      <c r="GI1" s="5">
        <v>170.0</v>
      </c>
      <c r="GJ1" s="5">
        <v>171.0</v>
      </c>
      <c r="GK1" s="1">
        <v>172.0</v>
      </c>
      <c r="GL1" s="5">
        <v>173.0</v>
      </c>
      <c r="GM1" s="5">
        <v>174.0</v>
      </c>
      <c r="GN1" s="1">
        <v>175.0</v>
      </c>
      <c r="GO1" s="5">
        <v>176.0</v>
      </c>
      <c r="GP1" s="5">
        <v>177.0</v>
      </c>
      <c r="GQ1" s="1">
        <v>178.0</v>
      </c>
      <c r="GR1" s="5">
        <v>179.0</v>
      </c>
      <c r="GS1" s="5">
        <v>180.0</v>
      </c>
      <c r="GT1" s="1">
        <v>181.0</v>
      </c>
      <c r="GU1" s="5">
        <v>182.0</v>
      </c>
      <c r="GV1" s="5">
        <v>183.0</v>
      </c>
      <c r="GW1" s="1">
        <v>184.0</v>
      </c>
      <c r="GX1" s="5">
        <v>185.0</v>
      </c>
      <c r="GY1" s="5">
        <v>186.0</v>
      </c>
      <c r="GZ1" s="1">
        <v>187.0</v>
      </c>
      <c r="HA1" s="5">
        <v>188.0</v>
      </c>
      <c r="HB1" s="5">
        <v>189.0</v>
      </c>
      <c r="HC1" s="1">
        <v>190.0</v>
      </c>
      <c r="HD1" s="5">
        <v>191.0</v>
      </c>
      <c r="HE1" s="5">
        <v>192.0</v>
      </c>
      <c r="HF1" s="1">
        <v>193.0</v>
      </c>
      <c r="HG1" s="5">
        <v>194.0</v>
      </c>
      <c r="HH1" s="5">
        <v>195.0</v>
      </c>
      <c r="HI1" s="1">
        <v>196.0</v>
      </c>
      <c r="HJ1" s="5">
        <v>197.0</v>
      </c>
      <c r="HK1" s="5">
        <v>198.0</v>
      </c>
      <c r="HL1" s="1">
        <v>199.0</v>
      </c>
      <c r="HM1" s="5">
        <v>200.0</v>
      </c>
      <c r="HN1" s="5">
        <v>201.0</v>
      </c>
      <c r="HO1" s="1">
        <v>202.0</v>
      </c>
      <c r="HP1" s="5">
        <v>203.0</v>
      </c>
      <c r="HQ1" s="5">
        <v>204.0</v>
      </c>
      <c r="HR1" s="1">
        <v>205.0</v>
      </c>
      <c r="HS1" s="5">
        <v>206.0</v>
      </c>
      <c r="HT1" s="5">
        <v>207.0</v>
      </c>
      <c r="HU1" s="1">
        <v>208.0</v>
      </c>
      <c r="HV1" s="5">
        <v>209.0</v>
      </c>
      <c r="HW1" s="5">
        <v>210.0</v>
      </c>
      <c r="HX1" s="1">
        <v>211.0</v>
      </c>
      <c r="HY1" s="5">
        <v>212.0</v>
      </c>
      <c r="HZ1" s="5">
        <v>213.0</v>
      </c>
      <c r="IA1" s="1">
        <v>214.0</v>
      </c>
      <c r="IB1" s="5">
        <v>215.0</v>
      </c>
      <c r="IC1" s="5">
        <v>216.0</v>
      </c>
      <c r="ID1" s="1">
        <v>217.0</v>
      </c>
      <c r="IE1" s="5">
        <v>218.0</v>
      </c>
      <c r="IF1" s="5">
        <v>219.0</v>
      </c>
      <c r="IG1" s="1">
        <v>220.0</v>
      </c>
      <c r="IH1" s="5">
        <v>221.0</v>
      </c>
      <c r="II1" s="5">
        <v>222.0</v>
      </c>
      <c r="IJ1" s="1">
        <v>223.0</v>
      </c>
      <c r="IK1" s="5">
        <v>224.0</v>
      </c>
      <c r="IL1" s="5">
        <v>225.0</v>
      </c>
      <c r="IM1" s="1">
        <v>226.0</v>
      </c>
      <c r="IN1" s="5">
        <v>227.0</v>
      </c>
      <c r="IO1" s="5">
        <v>228.0</v>
      </c>
      <c r="IP1" s="1">
        <v>229.0</v>
      </c>
      <c r="IQ1" s="5">
        <v>230.0</v>
      </c>
      <c r="IR1" s="5">
        <v>231.0</v>
      </c>
      <c r="IS1" s="1">
        <v>232.0</v>
      </c>
      <c r="IT1" s="5">
        <v>233.0</v>
      </c>
      <c r="IU1" s="5">
        <v>234.0</v>
      </c>
      <c r="IV1" s="1">
        <v>235.0</v>
      </c>
      <c r="IW1" s="5">
        <v>236.0</v>
      </c>
      <c r="IX1" s="5">
        <v>237.0</v>
      </c>
      <c r="IY1" s="1">
        <v>238.0</v>
      </c>
      <c r="IZ1" s="5">
        <v>239.0</v>
      </c>
      <c r="JA1" s="5">
        <v>240.0</v>
      </c>
      <c r="JB1" s="1">
        <v>241.0</v>
      </c>
      <c r="JC1" s="5">
        <v>242.0</v>
      </c>
      <c r="JD1" s="5">
        <v>243.0</v>
      </c>
      <c r="JE1" s="1">
        <v>244.0</v>
      </c>
      <c r="JF1" s="5">
        <v>245.0</v>
      </c>
      <c r="JG1" s="5">
        <v>246.0</v>
      </c>
      <c r="JH1" s="1">
        <v>247.0</v>
      </c>
      <c r="JI1" s="5">
        <v>248.0</v>
      </c>
      <c r="JJ1" s="5">
        <v>249.0</v>
      </c>
      <c r="JK1" s="1">
        <v>250.0</v>
      </c>
      <c r="JL1" s="5">
        <v>251.0</v>
      </c>
      <c r="JM1" s="5">
        <v>252.0</v>
      </c>
      <c r="JN1" s="1">
        <v>253.0</v>
      </c>
      <c r="JO1" s="5">
        <v>254.0</v>
      </c>
      <c r="JP1" s="5">
        <v>255.0</v>
      </c>
      <c r="JQ1" s="1">
        <v>256.0</v>
      </c>
      <c r="JR1" s="5">
        <v>257.0</v>
      </c>
      <c r="JS1" s="5">
        <v>258.0</v>
      </c>
      <c r="JT1" s="1">
        <v>259.0</v>
      </c>
      <c r="JU1" s="5">
        <v>260.0</v>
      </c>
      <c r="JV1" s="5">
        <v>261.0</v>
      </c>
      <c r="JW1" s="1">
        <v>262.0</v>
      </c>
      <c r="JX1" s="5">
        <v>263.0</v>
      </c>
      <c r="JY1" s="5">
        <v>264.0</v>
      </c>
      <c r="JZ1" s="1">
        <v>265.0</v>
      </c>
      <c r="KA1" s="5">
        <v>266.0</v>
      </c>
      <c r="KB1" s="5">
        <v>267.0</v>
      </c>
      <c r="KC1" s="1">
        <v>268.0</v>
      </c>
      <c r="KD1" s="5">
        <v>269.0</v>
      </c>
      <c r="KE1" s="5">
        <v>270.0</v>
      </c>
      <c r="KF1" s="1">
        <v>271.0</v>
      </c>
      <c r="KG1" s="5">
        <v>272.0</v>
      </c>
      <c r="KH1" s="5">
        <v>273.0</v>
      </c>
      <c r="KI1" s="1">
        <v>274.0</v>
      </c>
      <c r="KJ1" s="5">
        <v>275.0</v>
      </c>
      <c r="KK1" s="5">
        <v>276.0</v>
      </c>
      <c r="KL1" s="1">
        <v>277.0</v>
      </c>
      <c r="KM1" s="5">
        <v>278.0</v>
      </c>
      <c r="KN1" s="5">
        <v>279.0</v>
      </c>
      <c r="KO1" s="1">
        <v>280.0</v>
      </c>
      <c r="KP1" s="5">
        <v>281.0</v>
      </c>
      <c r="KQ1" s="5">
        <v>282.0</v>
      </c>
      <c r="KR1" s="1">
        <v>283.0</v>
      </c>
      <c r="KS1" s="5">
        <v>284.0</v>
      </c>
      <c r="KT1" s="5">
        <v>285.0</v>
      </c>
      <c r="KU1" s="1">
        <v>286.0</v>
      </c>
      <c r="KV1" s="1">
        <v>287.0</v>
      </c>
      <c r="KW1" s="1">
        <v>288.0</v>
      </c>
    </row>
    <row r="2" ht="13.5" customHeight="1">
      <c r="A2" s="6"/>
      <c r="B2" s="7"/>
      <c r="C2" s="7"/>
      <c r="D2" s="6" t="s">
        <v>0</v>
      </c>
      <c r="E2" s="8"/>
      <c r="F2" s="8"/>
      <c r="G2" s="8"/>
      <c r="H2" s="9"/>
      <c r="I2" s="9"/>
      <c r="J2" s="6"/>
      <c r="K2" s="5"/>
      <c r="L2" s="5"/>
      <c r="M2" s="5"/>
      <c r="N2" s="5"/>
      <c r="O2" s="5"/>
      <c r="P2" s="5"/>
      <c r="Q2" s="5"/>
      <c r="R2" s="6"/>
      <c r="S2" s="6"/>
      <c r="T2" s="6"/>
      <c r="U2" s="6"/>
      <c r="V2" s="6"/>
      <c r="W2" s="6" t="s">
        <v>1</v>
      </c>
      <c r="X2" s="6" t="s">
        <v>1</v>
      </c>
      <c r="Y2" s="6" t="s">
        <v>1</v>
      </c>
      <c r="Z2" s="6" t="s">
        <v>1</v>
      </c>
      <c r="AA2" s="6" t="s">
        <v>1</v>
      </c>
      <c r="AB2" s="6" t="s">
        <v>2</v>
      </c>
      <c r="AC2" s="6" t="s">
        <v>2</v>
      </c>
      <c r="AD2" s="6" t="s">
        <v>2</v>
      </c>
      <c r="AE2" s="6" t="s">
        <v>2</v>
      </c>
      <c r="AF2" s="6" t="s">
        <v>2</v>
      </c>
      <c r="AG2" s="6" t="s">
        <v>2</v>
      </c>
      <c r="AH2" s="6" t="s">
        <v>2</v>
      </c>
      <c r="AI2" s="6" t="s">
        <v>2</v>
      </c>
      <c r="AJ2" s="6" t="s">
        <v>2</v>
      </c>
      <c r="AK2" s="6" t="s">
        <v>2</v>
      </c>
      <c r="AL2" s="6" t="s">
        <v>2</v>
      </c>
      <c r="AM2" s="6" t="s">
        <v>2</v>
      </c>
      <c r="AN2" s="6" t="s">
        <v>2</v>
      </c>
      <c r="AO2" s="6" t="s">
        <v>2</v>
      </c>
      <c r="AP2" s="6" t="s">
        <v>2</v>
      </c>
      <c r="AQ2" s="6" t="s">
        <v>2</v>
      </c>
      <c r="AR2" s="6" t="s">
        <v>2</v>
      </c>
      <c r="AS2" s="6" t="s">
        <v>2</v>
      </c>
      <c r="AT2" s="6" t="s">
        <v>2</v>
      </c>
      <c r="AU2" s="6" t="s">
        <v>3</v>
      </c>
      <c r="AV2" s="6" t="s">
        <v>3</v>
      </c>
      <c r="AW2" s="6" t="s">
        <v>4</v>
      </c>
      <c r="AX2" s="6" t="s">
        <v>5</v>
      </c>
      <c r="AY2" s="6" t="s">
        <v>6</v>
      </c>
      <c r="AZ2" s="6" t="s">
        <v>6</v>
      </c>
      <c r="BA2" s="6" t="s">
        <v>6</v>
      </c>
      <c r="BB2" s="6" t="s">
        <v>6</v>
      </c>
      <c r="BC2" s="6" t="s">
        <v>6</v>
      </c>
      <c r="BD2" s="6" t="s">
        <v>6</v>
      </c>
      <c r="BE2" s="6" t="s">
        <v>6</v>
      </c>
      <c r="BF2" s="6" t="s">
        <v>6</v>
      </c>
      <c r="BG2" s="6" t="s">
        <v>6</v>
      </c>
      <c r="BH2" s="6" t="s">
        <v>6</v>
      </c>
      <c r="BI2" s="6" t="s">
        <v>6</v>
      </c>
      <c r="BJ2" s="6" t="s">
        <v>6</v>
      </c>
      <c r="BK2" s="6" t="s">
        <v>6</v>
      </c>
      <c r="BL2" s="6" t="s">
        <v>6</v>
      </c>
      <c r="BM2" s="6" t="s">
        <v>6</v>
      </c>
      <c r="BN2" s="6" t="s">
        <v>6</v>
      </c>
      <c r="BO2" s="6" t="s">
        <v>6</v>
      </c>
      <c r="BP2" s="6" t="s">
        <v>6</v>
      </c>
      <c r="BQ2" s="6" t="s">
        <v>6</v>
      </c>
      <c r="BR2" s="6" t="s">
        <v>6</v>
      </c>
      <c r="BS2" s="6" t="s">
        <v>6</v>
      </c>
      <c r="BT2" s="6" t="s">
        <v>6</v>
      </c>
      <c r="BU2" s="6" t="s">
        <v>6</v>
      </c>
      <c r="BV2" s="6" t="s">
        <v>6</v>
      </c>
      <c r="BW2" s="6" t="s">
        <v>6</v>
      </c>
      <c r="BX2" s="6" t="s">
        <v>6</v>
      </c>
      <c r="BY2" s="6" t="s">
        <v>7</v>
      </c>
      <c r="BZ2" s="6" t="s">
        <v>7</v>
      </c>
      <c r="CA2" s="6" t="s">
        <v>7</v>
      </c>
      <c r="CB2" s="6" t="s">
        <v>8</v>
      </c>
      <c r="CC2" s="6" t="s">
        <v>9</v>
      </c>
      <c r="CD2" s="6" t="s">
        <v>10</v>
      </c>
      <c r="CE2" s="6" t="s">
        <v>11</v>
      </c>
      <c r="CF2" s="6" t="s">
        <v>12</v>
      </c>
      <c r="CG2" s="6" t="s">
        <v>13</v>
      </c>
      <c r="CH2" s="6" t="s">
        <v>13</v>
      </c>
      <c r="CI2" s="6" t="s">
        <v>14</v>
      </c>
      <c r="CJ2" s="6" t="s">
        <v>14</v>
      </c>
      <c r="CK2" s="6" t="s">
        <v>14</v>
      </c>
      <c r="CL2" s="6" t="s">
        <v>14</v>
      </c>
      <c r="CM2" s="6" t="s">
        <v>14</v>
      </c>
      <c r="CN2" s="6" t="s">
        <v>14</v>
      </c>
      <c r="CO2" s="6" t="s">
        <v>14</v>
      </c>
      <c r="CP2" s="6" t="s">
        <v>14</v>
      </c>
      <c r="CQ2" s="6" t="s">
        <v>14</v>
      </c>
      <c r="CR2" s="6" t="s">
        <v>14</v>
      </c>
      <c r="CS2" s="6" t="s">
        <v>14</v>
      </c>
      <c r="CT2" s="6" t="s">
        <v>14</v>
      </c>
      <c r="CU2" s="6" t="s">
        <v>14</v>
      </c>
      <c r="CV2" s="6" t="s">
        <v>15</v>
      </c>
      <c r="CW2" s="6" t="s">
        <v>16</v>
      </c>
      <c r="CX2" s="6" t="s">
        <v>16</v>
      </c>
      <c r="CY2" s="6" t="s">
        <v>16</v>
      </c>
      <c r="CZ2" s="6" t="s">
        <v>16</v>
      </c>
      <c r="DA2" s="6" t="s">
        <v>16</v>
      </c>
      <c r="DB2" s="6" t="s">
        <v>16</v>
      </c>
      <c r="DC2" s="6" t="s">
        <v>16</v>
      </c>
      <c r="DD2" s="6" t="s">
        <v>16</v>
      </c>
      <c r="DE2" s="6" t="s">
        <v>16</v>
      </c>
      <c r="DF2" s="6" t="s">
        <v>16</v>
      </c>
      <c r="DG2" s="6" t="s">
        <v>17</v>
      </c>
      <c r="DH2" s="6" t="s">
        <v>17</v>
      </c>
      <c r="DI2" s="6" t="s">
        <v>17</v>
      </c>
      <c r="DJ2" s="6" t="s">
        <v>18</v>
      </c>
      <c r="DK2" s="6" t="s">
        <v>19</v>
      </c>
      <c r="DL2" s="6" t="s">
        <v>20</v>
      </c>
      <c r="DM2" s="6" t="s">
        <v>21</v>
      </c>
      <c r="DN2" s="6" t="s">
        <v>21</v>
      </c>
      <c r="DO2" s="6" t="s">
        <v>22</v>
      </c>
      <c r="DP2" s="6" t="s">
        <v>22</v>
      </c>
      <c r="DQ2" s="6" t="s">
        <v>22</v>
      </c>
      <c r="DR2" s="6" t="s">
        <v>22</v>
      </c>
      <c r="DS2" s="6" t="s">
        <v>22</v>
      </c>
      <c r="DT2" s="6" t="s">
        <v>22</v>
      </c>
      <c r="DU2" s="6" t="s">
        <v>23</v>
      </c>
      <c r="DV2" s="6" t="s">
        <v>23</v>
      </c>
      <c r="DW2" s="6" t="s">
        <v>24</v>
      </c>
      <c r="DX2" s="6" t="s">
        <v>24</v>
      </c>
      <c r="DY2" s="6" t="s">
        <v>25</v>
      </c>
      <c r="DZ2" s="6" t="s">
        <v>25</v>
      </c>
      <c r="EA2" s="6" t="s">
        <v>26</v>
      </c>
      <c r="EB2" s="6" t="s">
        <v>26</v>
      </c>
      <c r="EC2" s="6" t="s">
        <v>27</v>
      </c>
      <c r="ED2" s="6" t="s">
        <v>27</v>
      </c>
      <c r="EE2" s="6" t="s">
        <v>27</v>
      </c>
      <c r="EF2" s="6" t="s">
        <v>27</v>
      </c>
      <c r="EG2" s="6" t="s">
        <v>27</v>
      </c>
      <c r="EH2" s="6" t="s">
        <v>27</v>
      </c>
      <c r="EI2" s="6" t="s">
        <v>28</v>
      </c>
      <c r="EJ2" s="6" t="s">
        <v>28</v>
      </c>
      <c r="EK2" s="6" t="s">
        <v>28</v>
      </c>
      <c r="EL2" s="6" t="s">
        <v>28</v>
      </c>
      <c r="EM2" s="6" t="s">
        <v>28</v>
      </c>
      <c r="EN2" s="6" t="s">
        <v>29</v>
      </c>
      <c r="EO2" s="6" t="s">
        <v>30</v>
      </c>
      <c r="EP2" s="6" t="s">
        <v>30</v>
      </c>
      <c r="EQ2" s="6" t="s">
        <v>30</v>
      </c>
      <c r="ER2" s="6" t="s">
        <v>30</v>
      </c>
      <c r="ES2" s="6" t="s">
        <v>30</v>
      </c>
      <c r="ET2" s="6" t="s">
        <v>30</v>
      </c>
      <c r="EU2" s="6" t="s">
        <v>30</v>
      </c>
      <c r="EV2" s="6" t="s">
        <v>30</v>
      </c>
      <c r="EW2" s="6" t="s">
        <v>30</v>
      </c>
      <c r="EX2" s="6" t="s">
        <v>30</v>
      </c>
      <c r="EY2" s="6" t="s">
        <v>31</v>
      </c>
      <c r="EZ2" s="6" t="s">
        <v>31</v>
      </c>
      <c r="FA2" s="6" t="s">
        <v>31</v>
      </c>
      <c r="FB2" s="6" t="s">
        <v>31</v>
      </c>
      <c r="FC2" s="6" t="s">
        <v>31</v>
      </c>
      <c r="FD2" s="6" t="s">
        <v>31</v>
      </c>
      <c r="FE2" s="6" t="s">
        <v>31</v>
      </c>
      <c r="FF2" s="6" t="s">
        <v>31</v>
      </c>
      <c r="FG2" s="6" t="s">
        <v>32</v>
      </c>
      <c r="FH2" s="6" t="s">
        <v>32</v>
      </c>
      <c r="FI2" s="6" t="s">
        <v>33</v>
      </c>
      <c r="FJ2" s="6" t="s">
        <v>34</v>
      </c>
      <c r="FK2" s="6" t="s">
        <v>35</v>
      </c>
      <c r="FL2" s="6" t="s">
        <v>35</v>
      </c>
      <c r="FM2" s="6" t="s">
        <v>35</v>
      </c>
      <c r="FN2" s="6" t="s">
        <v>35</v>
      </c>
      <c r="FO2" s="6" t="s">
        <v>35</v>
      </c>
      <c r="FP2" s="6" t="s">
        <v>35</v>
      </c>
      <c r="FQ2" s="6" t="s">
        <v>35</v>
      </c>
      <c r="FR2" s="6" t="s">
        <v>35</v>
      </c>
      <c r="FS2" s="6" t="s">
        <v>35</v>
      </c>
      <c r="FT2" s="6" t="s">
        <v>35</v>
      </c>
      <c r="FU2" s="6" t="s">
        <v>35</v>
      </c>
      <c r="FV2" s="6" t="s">
        <v>35</v>
      </c>
      <c r="FW2" s="6" t="s">
        <v>35</v>
      </c>
      <c r="FX2" s="6" t="s">
        <v>35</v>
      </c>
      <c r="FY2" s="6" t="s">
        <v>35</v>
      </c>
      <c r="FZ2" s="6" t="s">
        <v>36</v>
      </c>
      <c r="GA2" s="6" t="s">
        <v>36</v>
      </c>
      <c r="GB2" s="6" t="s">
        <v>36</v>
      </c>
      <c r="GC2" s="6" t="s">
        <v>36</v>
      </c>
      <c r="GD2" s="6" t="s">
        <v>36</v>
      </c>
      <c r="GE2" s="6" t="s">
        <v>36</v>
      </c>
      <c r="GF2" s="6" t="s">
        <v>36</v>
      </c>
      <c r="GG2" s="6" t="s">
        <v>36</v>
      </c>
      <c r="GH2" s="6" t="s">
        <v>36</v>
      </c>
      <c r="GI2" s="6" t="s">
        <v>36</v>
      </c>
      <c r="GJ2" s="6" t="s">
        <v>36</v>
      </c>
      <c r="GK2" s="6" t="s">
        <v>37</v>
      </c>
      <c r="GL2" s="6" t="s">
        <v>37</v>
      </c>
      <c r="GM2" s="6" t="s">
        <v>37</v>
      </c>
      <c r="GN2" s="6" t="s">
        <v>37</v>
      </c>
      <c r="GO2" s="6" t="s">
        <v>37</v>
      </c>
      <c r="GP2" s="6" t="s">
        <v>37</v>
      </c>
      <c r="GQ2" s="6" t="s">
        <v>37</v>
      </c>
      <c r="GR2" s="6" t="s">
        <v>37</v>
      </c>
      <c r="GS2" s="6" t="s">
        <v>37</v>
      </c>
      <c r="GT2" s="6" t="s">
        <v>37</v>
      </c>
      <c r="GU2" s="6" t="s">
        <v>38</v>
      </c>
      <c r="GV2" s="6" t="s">
        <v>38</v>
      </c>
      <c r="GW2" s="6" t="s">
        <v>38</v>
      </c>
      <c r="GX2" s="6" t="s">
        <v>38</v>
      </c>
      <c r="GY2" s="6" t="s">
        <v>38</v>
      </c>
      <c r="GZ2" s="6" t="s">
        <v>38</v>
      </c>
      <c r="HA2" s="6" t="s">
        <v>38</v>
      </c>
      <c r="HB2" s="6" t="s">
        <v>38</v>
      </c>
      <c r="HC2" s="6" t="s">
        <v>38</v>
      </c>
      <c r="HD2" s="6" t="s">
        <v>38</v>
      </c>
      <c r="HE2" s="6" t="s">
        <v>38</v>
      </c>
      <c r="HF2" s="6" t="s">
        <v>38</v>
      </c>
      <c r="HG2" s="6" t="s">
        <v>38</v>
      </c>
      <c r="HH2" s="6" t="s">
        <v>38</v>
      </c>
      <c r="HI2" s="6" t="s">
        <v>38</v>
      </c>
      <c r="HJ2" s="6" t="s">
        <v>38</v>
      </c>
      <c r="HK2" s="6" t="s">
        <v>38</v>
      </c>
      <c r="HL2" s="6" t="s">
        <v>38</v>
      </c>
      <c r="HM2" s="6" t="s">
        <v>39</v>
      </c>
      <c r="HN2" s="6" t="s">
        <v>40</v>
      </c>
      <c r="HO2" s="6" t="s">
        <v>40</v>
      </c>
      <c r="HP2" s="6" t="s">
        <v>40</v>
      </c>
      <c r="HQ2" s="6" t="s">
        <v>40</v>
      </c>
      <c r="HR2" s="6" t="s">
        <v>41</v>
      </c>
      <c r="HS2" s="6" t="s">
        <v>41</v>
      </c>
      <c r="HT2" s="6" t="s">
        <v>42</v>
      </c>
      <c r="HU2" s="6" t="s">
        <v>42</v>
      </c>
      <c r="HV2" s="6" t="s">
        <v>42</v>
      </c>
      <c r="HW2" s="6" t="s">
        <v>42</v>
      </c>
      <c r="HX2" s="6" t="s">
        <v>43</v>
      </c>
      <c r="HY2" s="6" t="s">
        <v>43</v>
      </c>
      <c r="HZ2" s="6" t="s">
        <v>43</v>
      </c>
      <c r="IA2" s="6" t="s">
        <v>44</v>
      </c>
      <c r="IB2" s="6" t="s">
        <v>44</v>
      </c>
      <c r="IC2" s="6" t="s">
        <v>44</v>
      </c>
      <c r="ID2" s="6" t="s">
        <v>44</v>
      </c>
      <c r="IE2" s="6" t="s">
        <v>45</v>
      </c>
      <c r="IF2" s="6" t="s">
        <v>45</v>
      </c>
      <c r="IG2" s="6" t="s">
        <v>45</v>
      </c>
      <c r="IH2" s="6" t="s">
        <v>45</v>
      </c>
      <c r="II2" s="6" t="s">
        <v>45</v>
      </c>
      <c r="IJ2" s="6" t="s">
        <v>45</v>
      </c>
      <c r="IK2" s="6" t="s">
        <v>45</v>
      </c>
      <c r="IL2" s="6" t="s">
        <v>45</v>
      </c>
      <c r="IM2" s="6" t="s">
        <v>45</v>
      </c>
      <c r="IN2" s="6" t="s">
        <v>45</v>
      </c>
      <c r="IO2" s="6" t="s">
        <v>45</v>
      </c>
      <c r="IP2" s="6" t="s">
        <v>45</v>
      </c>
      <c r="IQ2" s="6" t="s">
        <v>45</v>
      </c>
      <c r="IR2" s="6" t="s">
        <v>46</v>
      </c>
      <c r="IS2" s="6" t="s">
        <v>47</v>
      </c>
      <c r="IT2" s="6" t="s">
        <v>47</v>
      </c>
      <c r="IU2" s="6" t="s">
        <v>47</v>
      </c>
      <c r="IV2" s="6" t="s">
        <v>47</v>
      </c>
      <c r="IW2" s="6" t="s">
        <v>48</v>
      </c>
      <c r="IX2" s="6" t="s">
        <v>48</v>
      </c>
      <c r="IY2" s="6" t="s">
        <v>48</v>
      </c>
      <c r="IZ2" s="6" t="s">
        <v>48</v>
      </c>
      <c r="JA2" s="6" t="s">
        <v>49</v>
      </c>
      <c r="JB2" s="6" t="s">
        <v>49</v>
      </c>
      <c r="JC2" s="6" t="s">
        <v>49</v>
      </c>
      <c r="JD2" s="6" t="s">
        <v>49</v>
      </c>
      <c r="JE2" s="6" t="s">
        <v>49</v>
      </c>
      <c r="JF2" s="6" t="s">
        <v>49</v>
      </c>
      <c r="JG2" s="6" t="s">
        <v>49</v>
      </c>
      <c r="JH2" s="6" t="s">
        <v>49</v>
      </c>
      <c r="JI2" s="6" t="s">
        <v>49</v>
      </c>
      <c r="JJ2" s="6" t="s">
        <v>49</v>
      </c>
      <c r="JK2" s="6" t="s">
        <v>50</v>
      </c>
      <c r="JL2" s="6" t="s">
        <v>50</v>
      </c>
      <c r="JM2" s="6" t="s">
        <v>50</v>
      </c>
      <c r="JN2" s="6" t="s">
        <v>51</v>
      </c>
      <c r="JO2" s="6" t="s">
        <v>51</v>
      </c>
      <c r="JP2" s="6" t="s">
        <v>51</v>
      </c>
      <c r="JQ2" s="6" t="s">
        <v>51</v>
      </c>
      <c r="JR2" s="6" t="s">
        <v>52</v>
      </c>
      <c r="JS2" s="6" t="s">
        <v>52</v>
      </c>
      <c r="JT2" s="6" t="s">
        <v>52</v>
      </c>
      <c r="JU2" s="6" t="s">
        <v>52</v>
      </c>
      <c r="JV2" s="6" t="s">
        <v>52</v>
      </c>
      <c r="JW2" s="6" t="s">
        <v>52</v>
      </c>
      <c r="JX2" s="6" t="s">
        <v>53</v>
      </c>
      <c r="JY2" s="6" t="s">
        <v>53</v>
      </c>
      <c r="JZ2" s="6" t="s">
        <v>53</v>
      </c>
      <c r="KA2" s="6" t="s">
        <v>53</v>
      </c>
      <c r="KB2" s="6" t="s">
        <v>53</v>
      </c>
      <c r="KC2" s="6" t="s">
        <v>53</v>
      </c>
      <c r="KD2" s="6" t="s">
        <v>53</v>
      </c>
      <c r="KE2" s="6" t="s">
        <v>53</v>
      </c>
      <c r="KF2" s="6" t="s">
        <v>53</v>
      </c>
      <c r="KG2" s="6" t="s">
        <v>53</v>
      </c>
      <c r="KH2" s="6" t="s">
        <v>54</v>
      </c>
      <c r="KI2" s="6" t="s">
        <v>54</v>
      </c>
      <c r="KJ2" s="6" t="s">
        <v>55</v>
      </c>
      <c r="KK2" s="6" t="s">
        <v>55</v>
      </c>
      <c r="KL2" s="6" t="s">
        <v>55</v>
      </c>
      <c r="KM2" s="6" t="s">
        <v>55</v>
      </c>
      <c r="KN2" s="6" t="s">
        <v>55</v>
      </c>
      <c r="KO2" s="6" t="s">
        <v>55</v>
      </c>
      <c r="KP2" s="6" t="s">
        <v>55</v>
      </c>
      <c r="KQ2" s="6" t="s">
        <v>55</v>
      </c>
      <c r="KR2" s="6" t="s">
        <v>55</v>
      </c>
      <c r="KS2" s="6" t="s">
        <v>55</v>
      </c>
      <c r="KT2" s="6" t="s">
        <v>56</v>
      </c>
      <c r="KU2" s="6" t="s">
        <v>57</v>
      </c>
      <c r="KV2" s="6" t="s">
        <v>58</v>
      </c>
      <c r="KW2" s="6" t="s">
        <v>58</v>
      </c>
    </row>
    <row r="3" ht="12.75" customHeight="1">
      <c r="A3" s="6"/>
      <c r="B3" s="7"/>
      <c r="C3" s="7"/>
      <c r="D3" s="10" t="str">
        <f>VLOOKUP($H$9,$V$7:$BY$8,56,0)</f>
        <v>Datos Específicos para Sport Entries</v>
      </c>
      <c r="E3" s="11"/>
      <c r="F3" s="11"/>
      <c r="G3" s="12"/>
      <c r="H3" s="9"/>
      <c r="I3" s="9"/>
      <c r="J3" s="6"/>
      <c r="K3" s="5"/>
      <c r="L3" s="5"/>
      <c r="M3" s="5"/>
      <c r="V3" s="6" t="s">
        <v>59</v>
      </c>
      <c r="W3" s="6" t="s">
        <v>60</v>
      </c>
      <c r="X3" s="6" t="s">
        <v>61</v>
      </c>
      <c r="Y3" s="6" t="s">
        <v>62</v>
      </c>
      <c r="Z3" s="6" t="s">
        <v>63</v>
      </c>
      <c r="AA3" s="6" t="s">
        <v>64</v>
      </c>
      <c r="AB3" s="6" t="s">
        <v>65</v>
      </c>
      <c r="AC3" s="6" t="s">
        <v>66</v>
      </c>
      <c r="AD3" s="6" t="s">
        <v>67</v>
      </c>
      <c r="AE3" s="6" t="s">
        <v>68</v>
      </c>
      <c r="AF3" s="6" t="s">
        <v>69</v>
      </c>
      <c r="AG3" s="6" t="s">
        <v>70</v>
      </c>
      <c r="AH3" s="6" t="s">
        <v>71</v>
      </c>
      <c r="AI3" s="6" t="s">
        <v>72</v>
      </c>
      <c r="AJ3" s="6" t="s">
        <v>73</v>
      </c>
      <c r="AK3" s="6" t="s">
        <v>74</v>
      </c>
      <c r="AL3" s="6" t="s">
        <v>75</v>
      </c>
      <c r="AM3" s="6" t="s">
        <v>76</v>
      </c>
      <c r="AN3" s="6" t="s">
        <v>77</v>
      </c>
      <c r="AO3" s="6" t="s">
        <v>78</v>
      </c>
      <c r="AP3" s="6" t="s">
        <v>79</v>
      </c>
      <c r="AQ3" s="6" t="s">
        <v>80</v>
      </c>
      <c r="AR3" s="6" t="s">
        <v>81</v>
      </c>
      <c r="AS3" s="6" t="s">
        <v>82</v>
      </c>
      <c r="AT3" s="6" t="s">
        <v>83</v>
      </c>
      <c r="AU3" s="6" t="s">
        <v>84</v>
      </c>
      <c r="AV3" s="6" t="s">
        <v>85</v>
      </c>
      <c r="AW3" s="6" t="s">
        <v>86</v>
      </c>
      <c r="AX3" s="6" t="s">
        <v>87</v>
      </c>
      <c r="AY3" s="6" t="s">
        <v>88</v>
      </c>
      <c r="AZ3" s="6" t="s">
        <v>89</v>
      </c>
      <c r="BA3" s="6" t="s">
        <v>90</v>
      </c>
      <c r="BB3" s="6" t="s">
        <v>91</v>
      </c>
      <c r="BC3" s="6" t="s">
        <v>92</v>
      </c>
      <c r="BD3" s="6" t="s">
        <v>93</v>
      </c>
      <c r="BE3" s="6" t="s">
        <v>94</v>
      </c>
      <c r="BF3" s="6" t="s">
        <v>95</v>
      </c>
      <c r="BG3" s="6" t="s">
        <v>96</v>
      </c>
      <c r="BH3" s="6" t="s">
        <v>97</v>
      </c>
      <c r="BI3" s="6" t="s">
        <v>98</v>
      </c>
      <c r="BJ3" s="6" t="s">
        <v>99</v>
      </c>
      <c r="BK3" s="6" t="s">
        <v>100</v>
      </c>
      <c r="BL3" s="6" t="s">
        <v>101</v>
      </c>
      <c r="BM3" s="6" t="s">
        <v>102</v>
      </c>
      <c r="BN3" s="6" t="s">
        <v>103</v>
      </c>
      <c r="BO3" s="6" t="s">
        <v>104</v>
      </c>
      <c r="BP3" s="6" t="s">
        <v>105</v>
      </c>
      <c r="BQ3" s="6" t="s">
        <v>106</v>
      </c>
      <c r="BR3" s="6" t="s">
        <v>107</v>
      </c>
      <c r="BS3" s="6" t="s">
        <v>108</v>
      </c>
      <c r="BT3" s="6" t="s">
        <v>109</v>
      </c>
      <c r="BU3" s="6" t="s">
        <v>110</v>
      </c>
      <c r="BV3" s="6" t="s">
        <v>111</v>
      </c>
      <c r="BW3" s="6" t="s">
        <v>112</v>
      </c>
      <c r="BX3" s="6" t="s">
        <v>113</v>
      </c>
      <c r="BY3" s="6" t="s">
        <v>114</v>
      </c>
      <c r="BZ3" s="6" t="s">
        <v>115</v>
      </c>
      <c r="CA3" s="6" t="s">
        <v>116</v>
      </c>
      <c r="CB3" s="6" t="s">
        <v>117</v>
      </c>
      <c r="CC3" s="6" t="s">
        <v>118</v>
      </c>
      <c r="CD3" s="6" t="s">
        <v>119</v>
      </c>
      <c r="CE3" s="6" t="s">
        <v>120</v>
      </c>
      <c r="CF3" s="6" t="s">
        <v>121</v>
      </c>
      <c r="CG3" s="6" t="s">
        <v>114</v>
      </c>
      <c r="CH3" s="6" t="s">
        <v>115</v>
      </c>
      <c r="CI3" s="6" t="s">
        <v>122</v>
      </c>
      <c r="CJ3" s="6" t="s">
        <v>123</v>
      </c>
      <c r="CK3" s="6" t="s">
        <v>124</v>
      </c>
      <c r="CL3" s="6" t="s">
        <v>125</v>
      </c>
      <c r="CM3" s="6" t="s">
        <v>126</v>
      </c>
      <c r="CN3" s="6" t="s">
        <v>127</v>
      </c>
      <c r="CO3" s="6" t="s">
        <v>128</v>
      </c>
      <c r="CP3" s="6" t="s">
        <v>129</v>
      </c>
      <c r="CQ3" s="6" t="s">
        <v>130</v>
      </c>
      <c r="CR3" s="6" t="s">
        <v>131</v>
      </c>
      <c r="CS3" s="6" t="s">
        <v>132</v>
      </c>
      <c r="CT3" s="6" t="s">
        <v>133</v>
      </c>
      <c r="CU3" s="6" t="s">
        <v>134</v>
      </c>
      <c r="CV3" s="6" t="s">
        <v>135</v>
      </c>
      <c r="CW3" s="6" t="s">
        <v>136</v>
      </c>
      <c r="CX3" s="6" t="s">
        <v>137</v>
      </c>
      <c r="CY3" s="6" t="s">
        <v>138</v>
      </c>
      <c r="CZ3" s="6" t="s">
        <v>139</v>
      </c>
      <c r="DA3" s="6" t="s">
        <v>140</v>
      </c>
      <c r="DB3" s="6" t="s">
        <v>141</v>
      </c>
      <c r="DC3" s="6" t="s">
        <v>142</v>
      </c>
      <c r="DD3" s="6" t="s">
        <v>143</v>
      </c>
      <c r="DE3" s="6" t="s">
        <v>144</v>
      </c>
      <c r="DF3" s="6" t="s">
        <v>145</v>
      </c>
      <c r="DG3" s="6" t="s">
        <v>146</v>
      </c>
      <c r="DH3" s="6" t="s">
        <v>147</v>
      </c>
      <c r="DI3" s="6" t="s">
        <v>148</v>
      </c>
      <c r="DJ3" s="6" t="s">
        <v>149</v>
      </c>
      <c r="DK3" s="6" t="s">
        <v>150</v>
      </c>
      <c r="DL3" s="6" t="s">
        <v>151</v>
      </c>
      <c r="DM3" s="6" t="s">
        <v>152</v>
      </c>
      <c r="DN3" s="6" t="s">
        <v>153</v>
      </c>
      <c r="DO3" s="6" t="s">
        <v>154</v>
      </c>
      <c r="DP3" s="6" t="s">
        <v>155</v>
      </c>
      <c r="DQ3" s="6" t="s">
        <v>156</v>
      </c>
      <c r="DR3" s="6" t="s">
        <v>157</v>
      </c>
      <c r="DS3" s="6" t="s">
        <v>158</v>
      </c>
      <c r="DT3" s="6" t="s">
        <v>159</v>
      </c>
      <c r="DU3" s="6" t="s">
        <v>160</v>
      </c>
      <c r="DV3" s="6" t="s">
        <v>161</v>
      </c>
      <c r="DW3" s="6" t="s">
        <v>162</v>
      </c>
      <c r="DX3" s="6" t="s">
        <v>163</v>
      </c>
      <c r="DY3" s="6" t="s">
        <v>164</v>
      </c>
      <c r="DZ3" s="6" t="s">
        <v>165</v>
      </c>
      <c r="EA3" s="6" t="s">
        <v>166</v>
      </c>
      <c r="EB3" s="6" t="s">
        <v>167</v>
      </c>
      <c r="EC3" s="6" t="s">
        <v>168</v>
      </c>
      <c r="ED3" s="6" t="s">
        <v>169</v>
      </c>
      <c r="EE3" s="6" t="s">
        <v>170</v>
      </c>
      <c r="EF3" s="6" t="s">
        <v>171</v>
      </c>
      <c r="EG3" s="6" t="s">
        <v>172</v>
      </c>
      <c r="EH3" s="6" t="s">
        <v>173</v>
      </c>
      <c r="EI3" s="6" t="s">
        <v>174</v>
      </c>
      <c r="EJ3" s="6" t="s">
        <v>175</v>
      </c>
      <c r="EK3" s="6" t="s">
        <v>176</v>
      </c>
      <c r="EL3" s="6" t="s">
        <v>177</v>
      </c>
      <c r="EM3" s="6" t="s">
        <v>178</v>
      </c>
      <c r="EN3" s="6" t="s">
        <v>179</v>
      </c>
      <c r="EO3" s="6" t="s">
        <v>84</v>
      </c>
      <c r="EP3" s="6" t="s">
        <v>180</v>
      </c>
      <c r="EQ3" s="6" t="s">
        <v>181</v>
      </c>
      <c r="ER3" s="6" t="s">
        <v>182</v>
      </c>
      <c r="ES3" s="6" t="s">
        <v>183</v>
      </c>
      <c r="ET3" s="6" t="s">
        <v>176</v>
      </c>
      <c r="EU3" s="6" t="s">
        <v>184</v>
      </c>
      <c r="EV3" s="6" t="s">
        <v>185</v>
      </c>
      <c r="EW3" s="6" t="s">
        <v>186</v>
      </c>
      <c r="EX3" s="6" t="s">
        <v>187</v>
      </c>
      <c r="EY3" s="6" t="s">
        <v>188</v>
      </c>
      <c r="EZ3" s="6" t="s">
        <v>189</v>
      </c>
      <c r="FA3" s="6" t="s">
        <v>190</v>
      </c>
      <c r="FB3" s="6" t="s">
        <v>191</v>
      </c>
      <c r="FC3" s="6" t="s">
        <v>192</v>
      </c>
      <c r="FD3" s="6" t="s">
        <v>193</v>
      </c>
      <c r="FE3" s="6" t="s">
        <v>194</v>
      </c>
      <c r="FF3" s="6" t="s">
        <v>195</v>
      </c>
      <c r="FG3" s="6" t="s">
        <v>114</v>
      </c>
      <c r="FH3" s="6" t="s">
        <v>196</v>
      </c>
      <c r="FI3" s="6" t="s">
        <v>197</v>
      </c>
      <c r="FJ3" s="6" t="s">
        <v>198</v>
      </c>
      <c r="FK3" s="6" t="s">
        <v>199</v>
      </c>
      <c r="FL3" s="6" t="s">
        <v>200</v>
      </c>
      <c r="FM3" s="6" t="s">
        <v>201</v>
      </c>
      <c r="FN3" s="6" t="s">
        <v>202</v>
      </c>
      <c r="FO3" s="6" t="s">
        <v>203</v>
      </c>
      <c r="FP3" s="6" t="s">
        <v>204</v>
      </c>
      <c r="FQ3" s="6" t="s">
        <v>205</v>
      </c>
      <c r="FR3" s="6" t="s">
        <v>206</v>
      </c>
      <c r="FS3" s="6" t="s">
        <v>207</v>
      </c>
      <c r="FT3" s="6" t="s">
        <v>208</v>
      </c>
      <c r="FU3" s="6" t="s">
        <v>209</v>
      </c>
      <c r="FV3" s="6" t="s">
        <v>210</v>
      </c>
      <c r="FW3" s="6" t="s">
        <v>211</v>
      </c>
      <c r="FX3" s="6" t="s">
        <v>212</v>
      </c>
      <c r="FY3" s="6" t="s">
        <v>213</v>
      </c>
      <c r="FZ3" s="6" t="s">
        <v>214</v>
      </c>
      <c r="GA3" s="6" t="s">
        <v>215</v>
      </c>
      <c r="GB3" s="6" t="s">
        <v>216</v>
      </c>
      <c r="GC3" s="6" t="s">
        <v>217</v>
      </c>
      <c r="GD3" s="6" t="s">
        <v>218</v>
      </c>
      <c r="GE3" s="6" t="s">
        <v>219</v>
      </c>
      <c r="GF3" s="6" t="s">
        <v>220</v>
      </c>
      <c r="GG3" s="6" t="s">
        <v>221</v>
      </c>
      <c r="GH3" s="6" t="s">
        <v>222</v>
      </c>
      <c r="GI3" s="6" t="s">
        <v>223</v>
      </c>
      <c r="GJ3" s="6" t="s">
        <v>224</v>
      </c>
      <c r="GK3" s="6" t="s">
        <v>225</v>
      </c>
      <c r="GL3" s="6" t="s">
        <v>226</v>
      </c>
      <c r="GM3" s="6" t="s">
        <v>227</v>
      </c>
      <c r="GN3" s="6" t="s">
        <v>228</v>
      </c>
      <c r="GO3" s="6" t="s">
        <v>229</v>
      </c>
      <c r="GP3" s="6" t="s">
        <v>230</v>
      </c>
      <c r="GQ3" s="6" t="s">
        <v>231</v>
      </c>
      <c r="GR3" s="6" t="s">
        <v>232</v>
      </c>
      <c r="GS3" s="6" t="s">
        <v>233</v>
      </c>
      <c r="GT3" s="6" t="s">
        <v>234</v>
      </c>
      <c r="GU3" s="6" t="s">
        <v>235</v>
      </c>
      <c r="GV3" s="6" t="s">
        <v>236</v>
      </c>
      <c r="GW3" s="6" t="s">
        <v>237</v>
      </c>
      <c r="GX3" s="6" t="s">
        <v>238</v>
      </c>
      <c r="GY3" s="6" t="s">
        <v>239</v>
      </c>
      <c r="GZ3" s="6" t="s">
        <v>240</v>
      </c>
      <c r="HA3" s="6" t="s">
        <v>241</v>
      </c>
      <c r="HB3" s="6" t="s">
        <v>242</v>
      </c>
      <c r="HC3" s="6" t="s">
        <v>243</v>
      </c>
      <c r="HD3" s="6" t="s">
        <v>244</v>
      </c>
      <c r="HE3" s="6" t="s">
        <v>245</v>
      </c>
      <c r="HF3" s="6" t="s">
        <v>246</v>
      </c>
      <c r="HG3" s="6" t="s">
        <v>247</v>
      </c>
      <c r="HH3" s="6" t="s">
        <v>248</v>
      </c>
      <c r="HI3" s="6" t="s">
        <v>249</v>
      </c>
      <c r="HJ3" s="6" t="s">
        <v>250</v>
      </c>
      <c r="HK3" s="6" t="s">
        <v>251</v>
      </c>
      <c r="HL3" s="6" t="s">
        <v>252</v>
      </c>
      <c r="HM3" s="6" t="s">
        <v>253</v>
      </c>
      <c r="HN3" s="6" t="s">
        <v>254</v>
      </c>
      <c r="HO3" s="6" t="s">
        <v>255</v>
      </c>
      <c r="HP3" s="6" t="s">
        <v>256</v>
      </c>
      <c r="HQ3" s="6" t="s">
        <v>257</v>
      </c>
      <c r="HR3" s="6" t="s">
        <v>258</v>
      </c>
      <c r="HS3" s="6" t="s">
        <v>259</v>
      </c>
      <c r="HT3" s="6" t="s">
        <v>260</v>
      </c>
      <c r="HU3" s="6" t="s">
        <v>261</v>
      </c>
      <c r="HV3" s="6" t="s">
        <v>262</v>
      </c>
      <c r="HW3" s="6" t="s">
        <v>263</v>
      </c>
      <c r="HX3" s="6" t="s">
        <v>114</v>
      </c>
      <c r="HY3" s="6" t="s">
        <v>264</v>
      </c>
      <c r="HZ3" s="6" t="s">
        <v>265</v>
      </c>
      <c r="IA3" s="6" t="s">
        <v>114</v>
      </c>
      <c r="IB3" s="6" t="s">
        <v>115</v>
      </c>
      <c r="IC3" s="6" t="s">
        <v>84</v>
      </c>
      <c r="ID3" s="6" t="s">
        <v>266</v>
      </c>
      <c r="IE3" s="6" t="s">
        <v>267</v>
      </c>
      <c r="IF3" s="6" t="s">
        <v>268</v>
      </c>
      <c r="IG3" s="6" t="s">
        <v>269</v>
      </c>
      <c r="IH3" s="6" t="s">
        <v>270</v>
      </c>
      <c r="II3" s="6" t="s">
        <v>271</v>
      </c>
      <c r="IJ3" s="6" t="s">
        <v>272</v>
      </c>
      <c r="IK3" s="6" t="s">
        <v>273</v>
      </c>
      <c r="IL3" s="6" t="s">
        <v>274</v>
      </c>
      <c r="IM3" s="6" t="s">
        <v>275</v>
      </c>
      <c r="IN3" s="6" t="s">
        <v>276</v>
      </c>
      <c r="IO3" s="6" t="s">
        <v>277</v>
      </c>
      <c r="IP3" s="6" t="s">
        <v>278</v>
      </c>
      <c r="IQ3" s="6" t="s">
        <v>279</v>
      </c>
      <c r="IR3" s="6" t="s">
        <v>280</v>
      </c>
      <c r="IS3" s="6" t="s">
        <v>114</v>
      </c>
      <c r="IT3" s="6" t="s">
        <v>84</v>
      </c>
      <c r="IU3" s="6" t="s">
        <v>115</v>
      </c>
      <c r="IV3" s="6" t="s">
        <v>266</v>
      </c>
      <c r="IW3" s="6" t="s">
        <v>281</v>
      </c>
      <c r="IX3" s="6" t="s">
        <v>282</v>
      </c>
      <c r="IY3" s="6" t="s">
        <v>283</v>
      </c>
      <c r="IZ3" s="6" t="s">
        <v>284</v>
      </c>
      <c r="JA3" s="6" t="s">
        <v>285</v>
      </c>
      <c r="JB3" s="6" t="s">
        <v>286</v>
      </c>
      <c r="JC3" s="6" t="s">
        <v>287</v>
      </c>
      <c r="JD3" s="6" t="s">
        <v>288</v>
      </c>
      <c r="JE3" s="6" t="s">
        <v>289</v>
      </c>
      <c r="JF3" s="6" t="s">
        <v>290</v>
      </c>
      <c r="JG3" s="6" t="s">
        <v>291</v>
      </c>
      <c r="JH3" s="6" t="s">
        <v>292</v>
      </c>
      <c r="JI3" s="6" t="s">
        <v>293</v>
      </c>
      <c r="JJ3" s="6" t="s">
        <v>294</v>
      </c>
      <c r="JK3" s="6" t="s">
        <v>114</v>
      </c>
      <c r="JL3" s="6" t="s">
        <v>115</v>
      </c>
      <c r="JM3" s="6" t="s">
        <v>266</v>
      </c>
      <c r="JN3" s="6" t="s">
        <v>114</v>
      </c>
      <c r="JO3" s="6" t="s">
        <v>84</v>
      </c>
      <c r="JP3" s="6" t="s">
        <v>115</v>
      </c>
      <c r="JQ3" s="6" t="s">
        <v>266</v>
      </c>
      <c r="JR3" s="6" t="s">
        <v>295</v>
      </c>
      <c r="JS3" s="6" t="s">
        <v>296</v>
      </c>
      <c r="JT3" s="6" t="s">
        <v>297</v>
      </c>
      <c r="JU3" s="6" t="s">
        <v>298</v>
      </c>
      <c r="JV3" s="6" t="s">
        <v>299</v>
      </c>
      <c r="JW3" s="6" t="s">
        <v>300</v>
      </c>
      <c r="JX3" s="6" t="s">
        <v>301</v>
      </c>
      <c r="JY3" s="6" t="s">
        <v>302</v>
      </c>
      <c r="JZ3" s="6" t="s">
        <v>303</v>
      </c>
      <c r="KA3" s="6" t="s">
        <v>304</v>
      </c>
      <c r="KB3" s="6" t="s">
        <v>305</v>
      </c>
      <c r="KC3" s="6" t="s">
        <v>306</v>
      </c>
      <c r="KD3" s="6" t="s">
        <v>307</v>
      </c>
      <c r="KE3" s="6" t="s">
        <v>308</v>
      </c>
      <c r="KF3" s="6" t="s">
        <v>309</v>
      </c>
      <c r="KG3" s="6" t="s">
        <v>310</v>
      </c>
      <c r="KH3" s="6" t="s">
        <v>114</v>
      </c>
      <c r="KI3" s="6" t="s">
        <v>265</v>
      </c>
      <c r="KJ3" s="6" t="s">
        <v>311</v>
      </c>
      <c r="KK3" s="6" t="s">
        <v>312</v>
      </c>
      <c r="KL3" s="6" t="s">
        <v>313</v>
      </c>
      <c r="KM3" s="6" t="s">
        <v>314</v>
      </c>
      <c r="KN3" s="6" t="s">
        <v>315</v>
      </c>
      <c r="KO3" s="6" t="s">
        <v>316</v>
      </c>
      <c r="KP3" s="6" t="s">
        <v>317</v>
      </c>
      <c r="KQ3" s="6" t="s">
        <v>318</v>
      </c>
      <c r="KR3" s="6" t="s">
        <v>319</v>
      </c>
      <c r="KS3" s="6" t="s">
        <v>320</v>
      </c>
      <c r="KT3" s="6" t="s">
        <v>321</v>
      </c>
      <c r="KU3" s="6" t="s">
        <v>322</v>
      </c>
      <c r="KV3" s="6" t="s">
        <v>323</v>
      </c>
      <c r="KW3" s="6" t="s">
        <v>324</v>
      </c>
    </row>
    <row r="4" ht="12.75" customHeight="1">
      <c r="A4" s="6"/>
      <c r="B4" s="6"/>
      <c r="C4" s="6"/>
      <c r="E4" s="11"/>
      <c r="F4" s="11"/>
      <c r="G4" s="12"/>
      <c r="H4" s="9"/>
      <c r="I4" s="4"/>
      <c r="J4" s="1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" t="s">
        <v>325</v>
      </c>
      <c r="W4" s="1" t="s">
        <v>326</v>
      </c>
      <c r="X4" s="1" t="s">
        <v>327</v>
      </c>
      <c r="Y4" s="1" t="s">
        <v>328</v>
      </c>
      <c r="Z4" s="1" t="s">
        <v>329</v>
      </c>
      <c r="AA4" s="1" t="s">
        <v>330</v>
      </c>
      <c r="AB4" s="1" t="s">
        <v>331</v>
      </c>
      <c r="AC4" s="1" t="s">
        <v>332</v>
      </c>
      <c r="AD4" s="1" t="s">
        <v>333</v>
      </c>
      <c r="AE4" s="1" t="s">
        <v>334</v>
      </c>
      <c r="AF4" s="1" t="s">
        <v>335</v>
      </c>
      <c r="AG4" s="1" t="s">
        <v>336</v>
      </c>
      <c r="AH4" s="1" t="s">
        <v>337</v>
      </c>
      <c r="AI4" s="1" t="s">
        <v>338</v>
      </c>
      <c r="AJ4" s="1" t="s">
        <v>339</v>
      </c>
      <c r="AK4" s="1" t="s">
        <v>340</v>
      </c>
      <c r="AL4" s="1" t="s">
        <v>341</v>
      </c>
      <c r="AM4" s="1" t="s">
        <v>342</v>
      </c>
      <c r="AN4" s="1" t="s">
        <v>343</v>
      </c>
      <c r="AO4" s="1" t="s">
        <v>344</v>
      </c>
      <c r="AP4" s="1" t="s">
        <v>345</v>
      </c>
      <c r="AQ4" s="1" t="s">
        <v>346</v>
      </c>
      <c r="AR4" s="1" t="s">
        <v>347</v>
      </c>
      <c r="AS4" s="1" t="s">
        <v>348</v>
      </c>
      <c r="AT4" s="1" t="s">
        <v>349</v>
      </c>
      <c r="AU4" s="1" t="s">
        <v>350</v>
      </c>
      <c r="AV4" s="1" t="s">
        <v>351</v>
      </c>
      <c r="AW4" s="1" t="s">
        <v>352</v>
      </c>
      <c r="AX4" s="1" t="s">
        <v>353</v>
      </c>
      <c r="AY4" s="1" t="s">
        <v>88</v>
      </c>
      <c r="AZ4" s="1" t="s">
        <v>89</v>
      </c>
      <c r="BA4" s="1" t="s">
        <v>90</v>
      </c>
      <c r="BB4" s="1" t="s">
        <v>91</v>
      </c>
      <c r="BC4" s="1" t="s">
        <v>92</v>
      </c>
      <c r="BD4" s="1" t="s">
        <v>93</v>
      </c>
      <c r="BE4" s="1" t="s">
        <v>94</v>
      </c>
      <c r="BF4" s="1" t="s">
        <v>354</v>
      </c>
      <c r="BG4" s="1" t="s">
        <v>355</v>
      </c>
      <c r="BH4" s="1" t="s">
        <v>356</v>
      </c>
      <c r="BI4" s="1" t="s">
        <v>98</v>
      </c>
      <c r="BJ4" s="1" t="s">
        <v>99</v>
      </c>
      <c r="BK4" s="1" t="s">
        <v>357</v>
      </c>
      <c r="BL4" s="1" t="s">
        <v>358</v>
      </c>
      <c r="BM4" s="1" t="s">
        <v>359</v>
      </c>
      <c r="BN4" s="1" t="s">
        <v>360</v>
      </c>
      <c r="BO4" s="1" t="s">
        <v>361</v>
      </c>
      <c r="BP4" s="1" t="s">
        <v>362</v>
      </c>
      <c r="BQ4" s="1" t="s">
        <v>363</v>
      </c>
      <c r="BR4" s="1" t="s">
        <v>364</v>
      </c>
      <c r="BS4" s="1" t="s">
        <v>365</v>
      </c>
      <c r="BT4" s="1" t="s">
        <v>109</v>
      </c>
      <c r="BU4" s="1" t="s">
        <v>366</v>
      </c>
      <c r="BV4" s="1" t="s">
        <v>367</v>
      </c>
      <c r="BW4" s="1" t="s">
        <v>368</v>
      </c>
      <c r="BX4" s="1" t="s">
        <v>369</v>
      </c>
      <c r="BY4" s="1" t="s">
        <v>114</v>
      </c>
      <c r="BZ4" s="1" t="s">
        <v>351</v>
      </c>
      <c r="CA4" s="1" t="s">
        <v>370</v>
      </c>
      <c r="CB4" s="1" t="s">
        <v>371</v>
      </c>
      <c r="CC4" s="1" t="s">
        <v>372</v>
      </c>
      <c r="CD4" s="1" t="s">
        <v>373</v>
      </c>
      <c r="CE4" s="1" t="s">
        <v>374</v>
      </c>
      <c r="CF4" s="1" t="s">
        <v>375</v>
      </c>
      <c r="CG4" s="1" t="s">
        <v>114</v>
      </c>
      <c r="CH4" s="1" t="s">
        <v>376</v>
      </c>
      <c r="CI4" s="1" t="s">
        <v>122</v>
      </c>
      <c r="CJ4" s="1" t="s">
        <v>123</v>
      </c>
      <c r="CK4" s="1" t="s">
        <v>124</v>
      </c>
      <c r="CL4" s="1" t="s">
        <v>125</v>
      </c>
      <c r="CM4" s="1" t="s">
        <v>126</v>
      </c>
      <c r="CN4" s="1" t="s">
        <v>127</v>
      </c>
      <c r="CO4" s="1" t="s">
        <v>128</v>
      </c>
      <c r="CP4" s="1" t="s">
        <v>129</v>
      </c>
      <c r="CQ4" s="1" t="s">
        <v>130</v>
      </c>
      <c r="CR4" s="1" t="s">
        <v>131</v>
      </c>
      <c r="CS4" s="1" t="s">
        <v>132</v>
      </c>
      <c r="CT4" s="1" t="s">
        <v>133</v>
      </c>
      <c r="CU4" s="1" t="s">
        <v>134</v>
      </c>
      <c r="CV4" s="1" t="s">
        <v>135</v>
      </c>
      <c r="CW4" s="1" t="s">
        <v>136</v>
      </c>
      <c r="CX4" s="1" t="s">
        <v>137</v>
      </c>
      <c r="CY4" s="1" t="s">
        <v>138</v>
      </c>
      <c r="CZ4" s="1" t="s">
        <v>139</v>
      </c>
      <c r="DA4" s="1" t="s">
        <v>140</v>
      </c>
      <c r="DB4" s="1" t="s">
        <v>141</v>
      </c>
      <c r="DC4" s="1" t="s">
        <v>142</v>
      </c>
      <c r="DD4" s="1" t="s">
        <v>143</v>
      </c>
      <c r="DE4" s="1" t="s">
        <v>144</v>
      </c>
      <c r="DF4" s="1" t="s">
        <v>145</v>
      </c>
      <c r="DG4" s="1" t="s">
        <v>146</v>
      </c>
      <c r="DH4" s="1" t="s">
        <v>147</v>
      </c>
      <c r="DI4" s="1" t="s">
        <v>148</v>
      </c>
      <c r="DJ4" s="1" t="s">
        <v>149</v>
      </c>
      <c r="DK4" s="1" t="s">
        <v>150</v>
      </c>
      <c r="DL4" s="1" t="s">
        <v>151</v>
      </c>
      <c r="DM4" s="1" t="s">
        <v>377</v>
      </c>
      <c r="DN4" s="1" t="s">
        <v>378</v>
      </c>
      <c r="DO4" s="1" t="s">
        <v>379</v>
      </c>
      <c r="DP4" s="1" t="s">
        <v>155</v>
      </c>
      <c r="DQ4" s="1" t="s">
        <v>156</v>
      </c>
      <c r="DR4" s="1" t="s">
        <v>380</v>
      </c>
      <c r="DS4" s="1" t="s">
        <v>381</v>
      </c>
      <c r="DT4" s="1" t="s">
        <v>159</v>
      </c>
      <c r="DU4" s="1" t="s">
        <v>382</v>
      </c>
      <c r="DV4" s="1" t="s">
        <v>383</v>
      </c>
      <c r="DW4" s="1" t="s">
        <v>384</v>
      </c>
      <c r="DX4" s="1" t="s">
        <v>385</v>
      </c>
      <c r="DY4" s="1" t="s">
        <v>386</v>
      </c>
      <c r="DZ4" s="1" t="s">
        <v>387</v>
      </c>
      <c r="EA4" s="1" t="s">
        <v>388</v>
      </c>
      <c r="EB4" s="1" t="s">
        <v>167</v>
      </c>
      <c r="EC4" s="1" t="s">
        <v>389</v>
      </c>
      <c r="ED4" s="1" t="s">
        <v>390</v>
      </c>
      <c r="EE4" s="1" t="s">
        <v>391</v>
      </c>
      <c r="EF4" s="1" t="s">
        <v>392</v>
      </c>
      <c r="EG4" s="1" t="s">
        <v>393</v>
      </c>
      <c r="EH4" s="1" t="s">
        <v>394</v>
      </c>
      <c r="EI4" s="1" t="s">
        <v>395</v>
      </c>
      <c r="EJ4" s="1" t="s">
        <v>175</v>
      </c>
      <c r="EK4" s="1" t="s">
        <v>396</v>
      </c>
      <c r="EL4" s="1" t="s">
        <v>177</v>
      </c>
      <c r="EM4" s="1" t="s">
        <v>178</v>
      </c>
      <c r="EN4" s="1" t="s">
        <v>397</v>
      </c>
      <c r="EO4" s="1" t="s">
        <v>350</v>
      </c>
      <c r="EP4" s="1" t="s">
        <v>398</v>
      </c>
      <c r="EQ4" s="1" t="s">
        <v>399</v>
      </c>
      <c r="ER4" s="1" t="s">
        <v>400</v>
      </c>
      <c r="ES4" s="1" t="s">
        <v>401</v>
      </c>
      <c r="ET4" s="1" t="s">
        <v>402</v>
      </c>
      <c r="EU4" s="1" t="s">
        <v>403</v>
      </c>
      <c r="EV4" s="1" t="s">
        <v>404</v>
      </c>
      <c r="EW4" s="1" t="s">
        <v>405</v>
      </c>
      <c r="EX4" s="1" t="s">
        <v>406</v>
      </c>
      <c r="EY4" s="1" t="s">
        <v>398</v>
      </c>
      <c r="EZ4" s="1" t="s">
        <v>407</v>
      </c>
      <c r="FA4" s="1" t="s">
        <v>408</v>
      </c>
      <c r="FB4" s="1" t="s">
        <v>409</v>
      </c>
      <c r="FC4" s="1" t="s">
        <v>410</v>
      </c>
      <c r="FD4" s="1" t="s">
        <v>411</v>
      </c>
      <c r="FE4" s="1" t="s">
        <v>412</v>
      </c>
      <c r="FF4" s="1" t="s">
        <v>413</v>
      </c>
      <c r="FG4" s="1" t="s">
        <v>114</v>
      </c>
      <c r="FH4" s="1" t="s">
        <v>414</v>
      </c>
      <c r="FI4" s="1" t="s">
        <v>197</v>
      </c>
      <c r="FJ4" s="1" t="s">
        <v>415</v>
      </c>
      <c r="FK4" s="1" t="s">
        <v>416</v>
      </c>
      <c r="FL4" s="1" t="s">
        <v>200</v>
      </c>
      <c r="FM4" s="1" t="s">
        <v>201</v>
      </c>
      <c r="FN4" s="1" t="s">
        <v>202</v>
      </c>
      <c r="FO4" s="1" t="s">
        <v>203</v>
      </c>
      <c r="FP4" s="1" t="s">
        <v>204</v>
      </c>
      <c r="FQ4" s="1" t="s">
        <v>205</v>
      </c>
      <c r="FR4" s="1" t="s">
        <v>206</v>
      </c>
      <c r="FS4" s="1" t="s">
        <v>207</v>
      </c>
      <c r="FT4" s="1" t="s">
        <v>208</v>
      </c>
      <c r="FU4" s="1" t="s">
        <v>209</v>
      </c>
      <c r="FV4" s="1" t="s">
        <v>210</v>
      </c>
      <c r="FW4" s="1" t="s">
        <v>211</v>
      </c>
      <c r="FX4" s="1" t="s">
        <v>212</v>
      </c>
      <c r="FY4" s="1" t="s">
        <v>417</v>
      </c>
      <c r="FZ4" s="1" t="s">
        <v>214</v>
      </c>
      <c r="GA4" s="1" t="s">
        <v>215</v>
      </c>
      <c r="GB4" s="1" t="s">
        <v>216</v>
      </c>
      <c r="GC4" s="1" t="s">
        <v>217</v>
      </c>
      <c r="GD4" s="1" t="s">
        <v>218</v>
      </c>
      <c r="GE4" s="1" t="s">
        <v>219</v>
      </c>
      <c r="GF4" s="1" t="s">
        <v>220</v>
      </c>
      <c r="GG4" s="1" t="s">
        <v>221</v>
      </c>
      <c r="GH4" s="1" t="s">
        <v>222</v>
      </c>
      <c r="GI4" s="1" t="s">
        <v>223</v>
      </c>
      <c r="GJ4" s="1" t="s">
        <v>224</v>
      </c>
      <c r="GK4" s="1" t="s">
        <v>225</v>
      </c>
      <c r="GL4" s="1" t="s">
        <v>226</v>
      </c>
      <c r="GM4" s="1" t="s">
        <v>227</v>
      </c>
      <c r="GN4" s="1" t="s">
        <v>228</v>
      </c>
      <c r="GO4" s="1" t="s">
        <v>229</v>
      </c>
      <c r="GP4" s="1" t="s">
        <v>230</v>
      </c>
      <c r="GQ4" s="1" t="s">
        <v>231</v>
      </c>
      <c r="GR4" s="1" t="s">
        <v>232</v>
      </c>
      <c r="GS4" s="1" t="s">
        <v>233</v>
      </c>
      <c r="GT4" s="1" t="s">
        <v>234</v>
      </c>
      <c r="GU4" s="1" t="s">
        <v>418</v>
      </c>
      <c r="GV4" s="1" t="s">
        <v>419</v>
      </c>
      <c r="GW4" s="1" t="s">
        <v>420</v>
      </c>
      <c r="GX4" s="1" t="s">
        <v>421</v>
      </c>
      <c r="GY4" s="1" t="s">
        <v>422</v>
      </c>
      <c r="GZ4" s="1" t="s">
        <v>423</v>
      </c>
      <c r="HA4" s="1" t="s">
        <v>424</v>
      </c>
      <c r="HB4" s="1" t="s">
        <v>425</v>
      </c>
      <c r="HC4" s="1" t="s">
        <v>426</v>
      </c>
      <c r="HD4" s="1" t="s">
        <v>427</v>
      </c>
      <c r="HE4" s="1" t="s">
        <v>428</v>
      </c>
      <c r="HF4" s="1" t="s">
        <v>429</v>
      </c>
      <c r="HG4" s="1" t="s">
        <v>430</v>
      </c>
      <c r="HH4" s="1" t="s">
        <v>431</v>
      </c>
      <c r="HI4" s="1" t="s">
        <v>432</v>
      </c>
      <c r="HJ4" s="1" t="s">
        <v>433</v>
      </c>
      <c r="HK4" s="1" t="s">
        <v>434</v>
      </c>
      <c r="HL4" s="1" t="s">
        <v>435</v>
      </c>
      <c r="HM4" s="1" t="s">
        <v>436</v>
      </c>
      <c r="HN4" s="1" t="s">
        <v>437</v>
      </c>
      <c r="HO4" s="1" t="s">
        <v>438</v>
      </c>
      <c r="HP4" s="1" t="s">
        <v>439</v>
      </c>
      <c r="HQ4" s="1" t="s">
        <v>440</v>
      </c>
      <c r="HR4" s="1" t="s">
        <v>258</v>
      </c>
      <c r="HS4" s="1" t="s">
        <v>259</v>
      </c>
      <c r="HT4" s="1" t="s">
        <v>441</v>
      </c>
      <c r="HU4" s="1" t="s">
        <v>442</v>
      </c>
      <c r="HV4" s="1" t="s">
        <v>443</v>
      </c>
      <c r="HW4" s="1" t="s">
        <v>263</v>
      </c>
      <c r="HX4" s="1" t="s">
        <v>114</v>
      </c>
      <c r="HY4" s="1" t="s">
        <v>444</v>
      </c>
      <c r="HZ4" s="1" t="s">
        <v>445</v>
      </c>
      <c r="IA4" s="1" t="s">
        <v>114</v>
      </c>
      <c r="IB4" s="1" t="s">
        <v>376</v>
      </c>
      <c r="IC4" s="1" t="s">
        <v>350</v>
      </c>
      <c r="ID4" s="1" t="s">
        <v>370</v>
      </c>
      <c r="IE4" s="1" t="s">
        <v>267</v>
      </c>
      <c r="IF4" s="1" t="s">
        <v>268</v>
      </c>
      <c r="IG4" s="1" t="s">
        <v>269</v>
      </c>
      <c r="IH4" s="1" t="s">
        <v>270</v>
      </c>
      <c r="II4" s="1" t="s">
        <v>271</v>
      </c>
      <c r="IJ4" s="1" t="s">
        <v>272</v>
      </c>
      <c r="IK4" s="1" t="s">
        <v>273</v>
      </c>
      <c r="IL4" s="1" t="s">
        <v>274</v>
      </c>
      <c r="IM4" s="1" t="s">
        <v>275</v>
      </c>
      <c r="IN4" s="1" t="s">
        <v>276</v>
      </c>
      <c r="IO4" s="1" t="s">
        <v>277</v>
      </c>
      <c r="IP4" s="1" t="s">
        <v>278</v>
      </c>
      <c r="IQ4" s="1" t="s">
        <v>446</v>
      </c>
      <c r="IR4" s="1" t="s">
        <v>280</v>
      </c>
      <c r="IS4" s="1" t="s">
        <v>114</v>
      </c>
      <c r="IT4" s="1" t="s">
        <v>376</v>
      </c>
      <c r="IU4" s="1" t="s">
        <v>350</v>
      </c>
      <c r="IV4" s="1" t="s">
        <v>370</v>
      </c>
      <c r="IW4" s="1" t="s">
        <v>281</v>
      </c>
      <c r="IX4" s="1" t="s">
        <v>282</v>
      </c>
      <c r="IY4" s="1" t="s">
        <v>283</v>
      </c>
      <c r="IZ4" s="1" t="s">
        <v>284</v>
      </c>
      <c r="JA4" s="1" t="s">
        <v>285</v>
      </c>
      <c r="JB4" s="1" t="s">
        <v>286</v>
      </c>
      <c r="JC4" s="1" t="s">
        <v>287</v>
      </c>
      <c r="JD4" s="1" t="s">
        <v>288</v>
      </c>
      <c r="JE4" s="1" t="s">
        <v>289</v>
      </c>
      <c r="JF4" s="1" t="s">
        <v>290</v>
      </c>
      <c r="JG4" s="1" t="s">
        <v>291</v>
      </c>
      <c r="JH4" s="1" t="s">
        <v>292</v>
      </c>
      <c r="JI4" s="1" t="s">
        <v>447</v>
      </c>
      <c r="JJ4" s="1" t="s">
        <v>448</v>
      </c>
      <c r="JK4" s="1" t="s">
        <v>114</v>
      </c>
      <c r="JL4" s="1" t="s">
        <v>376</v>
      </c>
      <c r="JM4" s="1" t="s">
        <v>370</v>
      </c>
      <c r="JN4" s="1" t="s">
        <v>114</v>
      </c>
      <c r="JO4" s="1" t="s">
        <v>350</v>
      </c>
      <c r="JP4" s="1" t="s">
        <v>376</v>
      </c>
      <c r="JQ4" s="1" t="s">
        <v>370</v>
      </c>
      <c r="JR4" s="1" t="s">
        <v>449</v>
      </c>
      <c r="JS4" s="1" t="s">
        <v>450</v>
      </c>
      <c r="JT4" s="1" t="s">
        <v>451</v>
      </c>
      <c r="JU4" s="1" t="s">
        <v>452</v>
      </c>
      <c r="JV4" s="1" t="s">
        <v>453</v>
      </c>
      <c r="JW4" s="1" t="s">
        <v>454</v>
      </c>
      <c r="JX4" s="1" t="s">
        <v>455</v>
      </c>
      <c r="JY4" s="1" t="s">
        <v>456</v>
      </c>
      <c r="JZ4" s="1" t="s">
        <v>457</v>
      </c>
      <c r="KA4" s="1" t="s">
        <v>458</v>
      </c>
      <c r="KB4" s="1" t="s">
        <v>459</v>
      </c>
      <c r="KC4" s="1" t="s">
        <v>306</v>
      </c>
      <c r="KD4" s="1" t="s">
        <v>307</v>
      </c>
      <c r="KE4" s="1" t="s">
        <v>460</v>
      </c>
      <c r="KF4" s="1" t="s">
        <v>461</v>
      </c>
      <c r="KG4" s="1" t="s">
        <v>462</v>
      </c>
      <c r="KH4" s="1" t="s">
        <v>114</v>
      </c>
      <c r="KI4" s="1" t="s">
        <v>445</v>
      </c>
      <c r="KJ4" s="1" t="s">
        <v>463</v>
      </c>
      <c r="KK4" s="1" t="s">
        <v>464</v>
      </c>
      <c r="KL4" s="1" t="s">
        <v>465</v>
      </c>
      <c r="KM4" s="1" t="s">
        <v>466</v>
      </c>
      <c r="KN4" s="1" t="s">
        <v>467</v>
      </c>
      <c r="KO4" s="1" t="s">
        <v>468</v>
      </c>
      <c r="KP4" s="1" t="s">
        <v>317</v>
      </c>
      <c r="KQ4" s="1" t="s">
        <v>469</v>
      </c>
      <c r="KR4" s="1" t="s">
        <v>470</v>
      </c>
      <c r="KS4" s="1" t="s">
        <v>471</v>
      </c>
      <c r="KT4" s="1" t="s">
        <v>472</v>
      </c>
      <c r="KU4" s="1" t="s">
        <v>473</v>
      </c>
      <c r="KV4" s="1" t="s">
        <v>474</v>
      </c>
      <c r="KW4" s="1" t="s">
        <v>475</v>
      </c>
      <c r="KX4" s="5"/>
      <c r="KY4" s="5"/>
      <c r="KZ4" s="5"/>
    </row>
    <row r="5" ht="12.75" customHeight="1">
      <c r="A5" s="6"/>
      <c r="B5" s="6"/>
      <c r="C5" s="6"/>
      <c r="D5" s="13" t="str">
        <f>VLOOKUP($H$9,$V$7:$BX$8,47,0)</f>
        <v>Taekwondo</v>
      </c>
      <c r="E5" s="14"/>
      <c r="F5" s="14"/>
      <c r="G5" s="8"/>
      <c r="H5" s="9"/>
      <c r="I5" s="4"/>
      <c r="J5" s="1"/>
      <c r="K5" s="5"/>
      <c r="L5" s="5"/>
      <c r="M5" s="5"/>
      <c r="N5" s="5"/>
      <c r="O5" s="5"/>
      <c r="P5" s="5"/>
      <c r="Q5" s="5"/>
      <c r="R5" s="1"/>
      <c r="S5" s="1"/>
      <c r="T5" s="1"/>
      <c r="U5" s="1"/>
      <c r="V5" s="1" t="s">
        <v>59</v>
      </c>
      <c r="W5" s="1" t="s">
        <v>476</v>
      </c>
      <c r="X5" s="1" t="s">
        <v>477</v>
      </c>
      <c r="Y5" s="1" t="s">
        <v>58</v>
      </c>
      <c r="Z5" s="1" t="s">
        <v>478</v>
      </c>
      <c r="AA5" s="15" t="s">
        <v>479</v>
      </c>
      <c r="AB5" s="1" t="s">
        <v>480</v>
      </c>
      <c r="AC5" s="16" t="s">
        <v>481</v>
      </c>
      <c r="AD5" s="1" t="s">
        <v>482</v>
      </c>
      <c r="AE5" s="1" t="s">
        <v>483</v>
      </c>
      <c r="AF5" s="1" t="s">
        <v>484</v>
      </c>
      <c r="AG5" s="1" t="s">
        <v>485</v>
      </c>
      <c r="AH5" s="1" t="s">
        <v>486</v>
      </c>
      <c r="AI5" s="1" t="s">
        <v>487</v>
      </c>
      <c r="AJ5" s="1" t="s">
        <v>488</v>
      </c>
      <c r="AK5" s="1" t="s">
        <v>489</v>
      </c>
      <c r="AL5" s="1" t="s">
        <v>490</v>
      </c>
      <c r="AM5" s="1" t="s">
        <v>491</v>
      </c>
      <c r="AN5" s="1" t="s">
        <v>492</v>
      </c>
      <c r="AO5" s="1" t="s">
        <v>493</v>
      </c>
      <c r="AP5" s="1" t="s">
        <v>494</v>
      </c>
      <c r="AQ5" s="1" t="s">
        <v>495</v>
      </c>
      <c r="AR5" s="1" t="s">
        <v>496</v>
      </c>
      <c r="AS5" s="1" t="s">
        <v>497</v>
      </c>
      <c r="AT5" s="1" t="s">
        <v>498</v>
      </c>
      <c r="AU5" s="1" t="s">
        <v>499</v>
      </c>
      <c r="AV5" s="1" t="s">
        <v>500</v>
      </c>
      <c r="AW5" s="1" t="s">
        <v>501</v>
      </c>
      <c r="AX5" s="1" t="s">
        <v>502</v>
      </c>
      <c r="AY5" s="1" t="s">
        <v>503</v>
      </c>
      <c r="AZ5" s="1" t="s">
        <v>504</v>
      </c>
      <c r="BA5" s="1" t="s">
        <v>505</v>
      </c>
      <c r="BB5" s="1" t="s">
        <v>506</v>
      </c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5"/>
      <c r="KY5" s="5"/>
      <c r="KZ5" s="5"/>
    </row>
    <row r="6" ht="12.75" customHeight="1">
      <c r="A6" s="6"/>
      <c r="B6" s="6"/>
      <c r="C6" s="6"/>
      <c r="E6" s="14"/>
      <c r="F6" s="14"/>
      <c r="G6" s="8"/>
      <c r="H6" s="9"/>
      <c r="I6" s="4"/>
      <c r="J6" s="1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1" t="s">
        <v>325</v>
      </c>
      <c r="W6" s="1" t="s">
        <v>507</v>
      </c>
      <c r="X6" s="1" t="s">
        <v>508</v>
      </c>
      <c r="Y6" s="1" t="s">
        <v>509</v>
      </c>
      <c r="Z6" s="1" t="s">
        <v>510</v>
      </c>
      <c r="AA6" s="15" t="s">
        <v>511</v>
      </c>
      <c r="AB6" s="1" t="s">
        <v>512</v>
      </c>
      <c r="AC6" s="16" t="s">
        <v>481</v>
      </c>
      <c r="AD6" s="1" t="s">
        <v>513</v>
      </c>
      <c r="AE6" s="1" t="s">
        <v>514</v>
      </c>
      <c r="AF6" s="1" t="s">
        <v>515</v>
      </c>
      <c r="AG6" s="1" t="s">
        <v>516</v>
      </c>
      <c r="AH6" s="1" t="s">
        <v>517</v>
      </c>
      <c r="AI6" s="1" t="s">
        <v>518</v>
      </c>
      <c r="AJ6" s="1" t="s">
        <v>519</v>
      </c>
      <c r="AK6" s="1" t="s">
        <v>520</v>
      </c>
      <c r="AL6" s="1" t="s">
        <v>521</v>
      </c>
      <c r="AM6" s="1" t="s">
        <v>522</v>
      </c>
      <c r="AN6" s="1" t="s">
        <v>523</v>
      </c>
      <c r="AO6" s="1" t="s">
        <v>524</v>
      </c>
      <c r="AP6" s="1" t="s">
        <v>525</v>
      </c>
      <c r="AQ6" s="1" t="s">
        <v>526</v>
      </c>
      <c r="AR6" s="1" t="s">
        <v>527</v>
      </c>
      <c r="AS6" s="1" t="s">
        <v>528</v>
      </c>
      <c r="AT6" s="1" t="s">
        <v>529</v>
      </c>
      <c r="AU6" s="1" t="s">
        <v>530</v>
      </c>
      <c r="AV6" s="1" t="s">
        <v>531</v>
      </c>
      <c r="AW6" s="1" t="s">
        <v>532</v>
      </c>
      <c r="AX6" s="1" t="s">
        <v>533</v>
      </c>
      <c r="AY6" s="1" t="s">
        <v>534</v>
      </c>
      <c r="AZ6" s="1" t="s">
        <v>535</v>
      </c>
      <c r="BA6" s="1" t="s">
        <v>536</v>
      </c>
      <c r="BB6" s="1" t="s">
        <v>537</v>
      </c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5"/>
      <c r="KY6" s="5"/>
      <c r="KZ6" s="5"/>
    </row>
    <row r="7" ht="13.5" customHeight="1">
      <c r="A7" s="6"/>
      <c r="B7" s="6"/>
      <c r="C7" s="6"/>
      <c r="D7" s="17"/>
      <c r="E7" s="14"/>
      <c r="F7" s="14"/>
      <c r="G7" s="8"/>
      <c r="H7" s="9"/>
      <c r="I7" s="4"/>
      <c r="J7" s="1"/>
      <c r="K7" s="5"/>
      <c r="L7" s="5"/>
      <c r="M7" s="5"/>
      <c r="N7" s="5"/>
      <c r="O7" s="5"/>
      <c r="P7" s="5"/>
      <c r="Q7" s="5"/>
      <c r="R7" s="1"/>
      <c r="S7" s="1"/>
      <c r="T7" s="1"/>
      <c r="U7" s="1"/>
      <c r="V7" s="1" t="s">
        <v>59</v>
      </c>
      <c r="W7" s="1" t="s">
        <v>538</v>
      </c>
      <c r="X7" s="1" t="s">
        <v>539</v>
      </c>
      <c r="Y7" s="1" t="s">
        <v>540</v>
      </c>
      <c r="Z7" s="1" t="s">
        <v>120</v>
      </c>
      <c r="AA7" s="1" t="s">
        <v>541</v>
      </c>
      <c r="AB7" s="1" t="s">
        <v>118</v>
      </c>
      <c r="AC7" s="1" t="s">
        <v>117</v>
      </c>
      <c r="AD7" s="1" t="s">
        <v>135</v>
      </c>
      <c r="AE7" s="1" t="s">
        <v>150</v>
      </c>
      <c r="AF7" s="1" t="s">
        <v>542</v>
      </c>
      <c r="AG7" s="1" t="s">
        <v>543</v>
      </c>
      <c r="AH7" s="1" t="s">
        <v>544</v>
      </c>
      <c r="AI7" s="1" t="s">
        <v>545</v>
      </c>
      <c r="AJ7" s="1" t="s">
        <v>546</v>
      </c>
      <c r="AK7" s="1" t="s">
        <v>547</v>
      </c>
      <c r="AL7" s="1" t="s">
        <v>548</v>
      </c>
      <c r="AM7" s="1" t="s">
        <v>549</v>
      </c>
      <c r="AN7" s="1" t="s">
        <v>550</v>
      </c>
      <c r="AO7" s="1" t="s">
        <v>179</v>
      </c>
      <c r="AP7" s="1" t="s">
        <v>551</v>
      </c>
      <c r="AQ7" s="1" t="s">
        <v>552</v>
      </c>
      <c r="AR7" s="1" t="s">
        <v>197</v>
      </c>
      <c r="AS7" s="1" t="s">
        <v>553</v>
      </c>
      <c r="AT7" s="1" t="s">
        <v>554</v>
      </c>
      <c r="AU7" s="1" t="s">
        <v>119</v>
      </c>
      <c r="AV7" s="1" t="s">
        <v>198</v>
      </c>
      <c r="AW7" s="1" t="s">
        <v>555</v>
      </c>
      <c r="AX7" s="1" t="s">
        <v>556</v>
      </c>
      <c r="AY7" s="1" t="s">
        <v>557</v>
      </c>
      <c r="AZ7" s="1" t="s">
        <v>558</v>
      </c>
      <c r="BA7" s="1" t="s">
        <v>559</v>
      </c>
      <c r="BB7" s="1" t="s">
        <v>560</v>
      </c>
      <c r="BC7" s="1" t="s">
        <v>561</v>
      </c>
      <c r="BD7" s="1" t="s">
        <v>562</v>
      </c>
      <c r="BE7" s="1" t="s">
        <v>280</v>
      </c>
      <c r="BF7" s="1" t="s">
        <v>563</v>
      </c>
      <c r="BG7" s="1" t="s">
        <v>121</v>
      </c>
      <c r="BH7" s="1" t="s">
        <v>564</v>
      </c>
      <c r="BI7" s="1" t="s">
        <v>565</v>
      </c>
      <c r="BJ7" s="1" t="s">
        <v>566</v>
      </c>
      <c r="BK7" s="1" t="s">
        <v>567</v>
      </c>
      <c r="BL7" s="1" t="s">
        <v>568</v>
      </c>
      <c r="BM7" s="1" t="s">
        <v>569</v>
      </c>
      <c r="BN7" s="1" t="s">
        <v>570</v>
      </c>
      <c r="BO7" s="1" t="s">
        <v>571</v>
      </c>
      <c r="BP7" s="1" t="s">
        <v>572</v>
      </c>
      <c r="BQ7" s="1" t="s">
        <v>573</v>
      </c>
      <c r="BR7" s="1" t="s">
        <v>574</v>
      </c>
      <c r="BS7" s="1" t="s">
        <v>322</v>
      </c>
      <c r="BT7" s="1" t="s">
        <v>321</v>
      </c>
      <c r="BU7" s="1" t="s">
        <v>575</v>
      </c>
      <c r="BV7" s="1" t="s">
        <v>576</v>
      </c>
      <c r="BW7" s="1" t="s">
        <v>577</v>
      </c>
      <c r="BX7" s="1" t="s">
        <v>578</v>
      </c>
      <c r="BY7" s="1" t="s">
        <v>579</v>
      </c>
      <c r="BZ7" s="5" t="s">
        <v>580</v>
      </c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</row>
    <row r="8" ht="13.5" customHeight="1">
      <c r="A8" s="6"/>
      <c r="B8" s="6"/>
      <c r="C8" s="6"/>
      <c r="D8" s="6"/>
      <c r="E8" s="8"/>
      <c r="F8" s="8"/>
      <c r="G8" s="8"/>
      <c r="H8" s="9"/>
      <c r="I8" s="4"/>
      <c r="J8" s="1"/>
      <c r="K8" s="5"/>
      <c r="L8" s="5"/>
      <c r="M8" s="5"/>
      <c r="N8" s="5"/>
      <c r="O8" s="5"/>
      <c r="P8" s="5"/>
      <c r="Q8" s="5"/>
      <c r="R8" s="1"/>
      <c r="S8" s="1"/>
      <c r="T8" s="1"/>
      <c r="U8" s="1"/>
      <c r="V8" s="1" t="s">
        <v>325</v>
      </c>
      <c r="W8" s="1" t="s">
        <v>581</v>
      </c>
      <c r="X8" s="1" t="s">
        <v>582</v>
      </c>
      <c r="Y8" s="1" t="s">
        <v>583</v>
      </c>
      <c r="Z8" s="1" t="s">
        <v>374</v>
      </c>
      <c r="AA8" s="1" t="s">
        <v>584</v>
      </c>
      <c r="AB8" s="1" t="s">
        <v>372</v>
      </c>
      <c r="AC8" s="1" t="s">
        <v>371</v>
      </c>
      <c r="AD8" s="1" t="s">
        <v>135</v>
      </c>
      <c r="AE8" s="1" t="s">
        <v>150</v>
      </c>
      <c r="AF8" s="1" t="s">
        <v>585</v>
      </c>
      <c r="AG8" s="1" t="s">
        <v>543</v>
      </c>
      <c r="AH8" s="1" t="s">
        <v>586</v>
      </c>
      <c r="AI8" s="1" t="s">
        <v>587</v>
      </c>
      <c r="AJ8" s="1" t="s">
        <v>588</v>
      </c>
      <c r="AK8" s="1" t="s">
        <v>589</v>
      </c>
      <c r="AL8" s="1" t="s">
        <v>590</v>
      </c>
      <c r="AM8" s="1" t="s">
        <v>591</v>
      </c>
      <c r="AN8" s="1" t="s">
        <v>592</v>
      </c>
      <c r="AO8" s="1" t="s">
        <v>397</v>
      </c>
      <c r="AP8" s="1" t="s">
        <v>593</v>
      </c>
      <c r="AQ8" s="1" t="s">
        <v>594</v>
      </c>
      <c r="AR8" s="1" t="s">
        <v>197</v>
      </c>
      <c r="AS8" s="1" t="s">
        <v>595</v>
      </c>
      <c r="AT8" s="1" t="s">
        <v>596</v>
      </c>
      <c r="AU8" s="1" t="s">
        <v>373</v>
      </c>
      <c r="AV8" s="1" t="s">
        <v>415</v>
      </c>
      <c r="AW8" s="1" t="s">
        <v>555</v>
      </c>
      <c r="AX8" s="1" t="s">
        <v>556</v>
      </c>
      <c r="AY8" s="1" t="s">
        <v>597</v>
      </c>
      <c r="AZ8" s="1" t="s">
        <v>598</v>
      </c>
      <c r="BA8" s="1" t="s">
        <v>353</v>
      </c>
      <c r="BB8" s="1" t="s">
        <v>599</v>
      </c>
      <c r="BC8" s="1" t="s">
        <v>600</v>
      </c>
      <c r="BD8" s="1" t="s">
        <v>601</v>
      </c>
      <c r="BE8" s="1" t="s">
        <v>280</v>
      </c>
      <c r="BF8" s="1" t="s">
        <v>602</v>
      </c>
      <c r="BG8" s="1" t="s">
        <v>375</v>
      </c>
      <c r="BH8" s="1" t="s">
        <v>603</v>
      </c>
      <c r="BI8" s="1" t="s">
        <v>565</v>
      </c>
      <c r="BJ8" s="1" t="s">
        <v>566</v>
      </c>
      <c r="BK8" s="1" t="s">
        <v>604</v>
      </c>
      <c r="BL8" s="1" t="s">
        <v>605</v>
      </c>
      <c r="BM8" s="1" t="s">
        <v>606</v>
      </c>
      <c r="BN8" s="1" t="s">
        <v>607</v>
      </c>
      <c r="BO8" s="1" t="s">
        <v>608</v>
      </c>
      <c r="BP8" s="1" t="s">
        <v>572</v>
      </c>
      <c r="BQ8" s="1" t="s">
        <v>609</v>
      </c>
      <c r="BR8" s="1" t="s">
        <v>610</v>
      </c>
      <c r="BS8" s="1" t="s">
        <v>473</v>
      </c>
      <c r="BT8" s="1" t="s">
        <v>472</v>
      </c>
      <c r="BU8" s="1" t="s">
        <v>611</v>
      </c>
      <c r="BV8" s="1" t="s">
        <v>352</v>
      </c>
      <c r="BW8" s="1" t="s">
        <v>612</v>
      </c>
      <c r="BX8" s="1" t="s">
        <v>613</v>
      </c>
      <c r="BY8" s="1" t="s">
        <v>614</v>
      </c>
      <c r="BZ8" s="5" t="s">
        <v>615</v>
      </c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</row>
    <row r="9" ht="17.25" customHeight="1">
      <c r="A9" s="6"/>
      <c r="B9" s="18" t="str">
        <f>VLOOKUP($H$9,$V$7:$BZ$8,57,0)</f>
        <v>Datos del Atleta</v>
      </c>
      <c r="C9" s="19"/>
      <c r="D9" s="19"/>
      <c r="E9" s="8"/>
      <c r="F9" s="8"/>
      <c r="G9" s="5"/>
      <c r="H9" s="20" t="s">
        <v>59</v>
      </c>
      <c r="I9" s="5"/>
      <c r="J9" s="5"/>
      <c r="K9" s="5"/>
      <c r="L9" s="5"/>
      <c r="M9" s="5"/>
      <c r="N9" s="5"/>
      <c r="O9" s="5"/>
      <c r="P9" s="5"/>
      <c r="Q9" s="5"/>
      <c r="R9" s="1"/>
      <c r="S9" s="1"/>
      <c r="T9" s="1"/>
      <c r="U9" s="1"/>
      <c r="V9" s="1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  <c r="IW9" s="5"/>
      <c r="IX9" s="5"/>
      <c r="IY9" s="5"/>
      <c r="IZ9" s="5"/>
      <c r="JA9" s="5"/>
      <c r="JB9" s="5"/>
      <c r="JC9" s="5"/>
      <c r="JD9" s="5"/>
      <c r="JE9" s="5"/>
      <c r="JF9" s="5"/>
      <c r="JG9" s="5"/>
      <c r="JH9" s="5"/>
      <c r="JI9" s="5"/>
      <c r="JJ9" s="5"/>
      <c r="JK9" s="5"/>
      <c r="JL9" s="5"/>
      <c r="JM9" s="5"/>
      <c r="JN9" s="5"/>
      <c r="JO9" s="5"/>
      <c r="JP9" s="5"/>
      <c r="JQ9" s="5"/>
      <c r="JR9" s="5"/>
      <c r="JS9" s="5"/>
      <c r="JT9" s="5"/>
      <c r="JU9" s="5"/>
      <c r="JV9" s="5"/>
      <c r="JW9" s="5"/>
      <c r="JX9" s="5"/>
      <c r="JY9" s="5"/>
      <c r="JZ9" s="5"/>
      <c r="KA9" s="5"/>
      <c r="KB9" s="5"/>
      <c r="KC9" s="5"/>
      <c r="KD9" s="5"/>
      <c r="KE9" s="5"/>
      <c r="KF9" s="5"/>
      <c r="KG9" s="5"/>
      <c r="KH9" s="5"/>
      <c r="KI9" s="5"/>
      <c r="KJ9" s="5"/>
      <c r="KK9" s="5"/>
      <c r="KL9" s="5"/>
      <c r="KM9" s="5"/>
      <c r="KN9" s="5"/>
      <c r="KO9" s="5"/>
      <c r="KP9" s="5"/>
      <c r="KQ9" s="5"/>
      <c r="KR9" s="5"/>
      <c r="KS9" s="5"/>
      <c r="KT9" s="5"/>
      <c r="KU9" s="5"/>
      <c r="KV9" s="5"/>
      <c r="KW9" s="5"/>
      <c r="KX9" s="5"/>
      <c r="KY9" s="5"/>
      <c r="KZ9" s="5"/>
    </row>
    <row r="10" ht="45.0" customHeight="1">
      <c r="A10" s="6"/>
      <c r="B10" s="21" t="s">
        <v>616</v>
      </c>
      <c r="C10" s="22" t="str">
        <f>VLOOKUP($H$9,$V$5:$AD$6,2,0)</f>
        <v>Apellido</v>
      </c>
      <c r="D10" s="22" t="str">
        <f>VLOOKUP($H$9,$V$5:$AD$6,3,0)</f>
        <v>Nombre</v>
      </c>
      <c r="E10" s="22" t="str">
        <f>VLOOKUP($H$9,$V$5:$AD$6,4,0)</f>
        <v>Genero</v>
      </c>
      <c r="F10" s="22" t="str">
        <f>VLOOKUP($H$9,$V$5:$AD$6,6,0)</f>
        <v>Eventos en los que participa</v>
      </c>
      <c r="G10" s="22" t="str">
        <f>VLOOKUP($H$9,$V$5:$AD$6,5,0)</f>
        <v>Evento Deportivo</v>
      </c>
      <c r="H10" s="23" t="str">
        <f>VLOOKUP($H$9,$V$5:$AD$6,8,0)</f>
        <v>Global Athlete License (GAL) XXX-0000</v>
      </c>
      <c r="I10" s="5"/>
      <c r="J10" s="5"/>
      <c r="K10" s="5"/>
      <c r="L10" s="5"/>
      <c r="M10" s="5"/>
      <c r="N10" s="5"/>
      <c r="O10" s="5"/>
      <c r="P10" s="5"/>
      <c r="Q10" s="5"/>
      <c r="R10" s="1"/>
      <c r="S10" s="1"/>
      <c r="T10" s="1"/>
      <c r="U10" s="1"/>
      <c r="V10" s="1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  <c r="IY10" s="5"/>
      <c r="IZ10" s="5"/>
      <c r="JA10" s="5"/>
      <c r="JB10" s="5"/>
      <c r="JC10" s="5"/>
      <c r="JD10" s="5"/>
      <c r="JE10" s="5"/>
      <c r="JF10" s="5"/>
      <c r="JG10" s="5"/>
      <c r="JH10" s="5"/>
      <c r="JI10" s="5"/>
      <c r="JJ10" s="5"/>
      <c r="JK10" s="5"/>
      <c r="JL10" s="5"/>
      <c r="JM10" s="5"/>
      <c r="JN10" s="5"/>
      <c r="JO10" s="5"/>
      <c r="JP10" s="5"/>
      <c r="JQ10" s="5"/>
      <c r="JR10" s="5"/>
      <c r="JS10" s="5"/>
      <c r="JT10" s="5"/>
      <c r="JU10" s="5"/>
      <c r="JV10" s="5"/>
      <c r="JW10" s="5"/>
      <c r="JX10" s="5"/>
      <c r="JY10" s="5"/>
      <c r="JZ10" s="5"/>
      <c r="KA10" s="5"/>
      <c r="KB10" s="5"/>
      <c r="KC10" s="5"/>
      <c r="KD10" s="5"/>
      <c r="KE10" s="5"/>
      <c r="KF10" s="5"/>
      <c r="KG10" s="5"/>
      <c r="KH10" s="5"/>
      <c r="KI10" s="5"/>
      <c r="KJ10" s="5"/>
      <c r="KK10" s="5"/>
      <c r="KL10" s="5"/>
      <c r="KM10" s="5"/>
      <c r="KN10" s="5"/>
      <c r="KO10" s="5"/>
      <c r="KP10" s="5"/>
      <c r="KQ10" s="5"/>
      <c r="KR10" s="5"/>
      <c r="KS10" s="5"/>
      <c r="KT10" s="5"/>
      <c r="KU10" s="5"/>
      <c r="KV10" s="5"/>
      <c r="KW10" s="5"/>
      <c r="KX10" s="24" t="s">
        <v>617</v>
      </c>
      <c r="KY10" s="25" t="s">
        <v>618</v>
      </c>
      <c r="KZ10" s="26"/>
      <c r="LB10" s="27"/>
    </row>
    <row r="11" ht="13.5" customHeight="1">
      <c r="A11" s="28"/>
      <c r="B11" s="29">
        <v>1.0</v>
      </c>
      <c r="C11" s="30"/>
      <c r="D11" s="30"/>
      <c r="E11" s="31"/>
      <c r="F11" s="32"/>
      <c r="G11" s="32"/>
      <c r="H11" s="31"/>
      <c r="I11" s="5"/>
      <c r="J11" s="5"/>
      <c r="K11" s="5"/>
      <c r="L11" s="5"/>
      <c r="M11" s="5"/>
      <c r="N11" s="5"/>
      <c r="O11" s="5"/>
      <c r="P11" s="5"/>
      <c r="Q11" s="5"/>
      <c r="R11" s="1"/>
      <c r="S11" s="1"/>
      <c r="T11" s="1"/>
      <c r="U11" s="1"/>
      <c r="V11" s="1"/>
      <c r="W11" s="1" t="s">
        <v>619</v>
      </c>
      <c r="X11" s="1" t="s">
        <v>620</v>
      </c>
      <c r="Y11" s="1" t="s">
        <v>621</v>
      </c>
      <c r="Z11" s="1" t="s">
        <v>622</v>
      </c>
      <c r="AA11" s="1" t="s">
        <v>623</v>
      </c>
      <c r="AB11" s="1" t="s">
        <v>624</v>
      </c>
      <c r="AC11" s="1" t="s">
        <v>625</v>
      </c>
      <c r="AD11" s="1" t="s">
        <v>626</v>
      </c>
      <c r="AE11" s="1" t="s">
        <v>627</v>
      </c>
      <c r="AF11" s="1" t="s">
        <v>628</v>
      </c>
      <c r="AG11" s="1" t="s">
        <v>629</v>
      </c>
      <c r="AH11" s="1" t="s">
        <v>630</v>
      </c>
      <c r="AI11" s="1" t="s">
        <v>631</v>
      </c>
      <c r="AJ11" s="1" t="s">
        <v>632</v>
      </c>
      <c r="AK11" s="1" t="s">
        <v>633</v>
      </c>
      <c r="AL11" s="1" t="s">
        <v>634</v>
      </c>
      <c r="AM11" s="1" t="s">
        <v>635</v>
      </c>
      <c r="AN11" s="1" t="s">
        <v>636</v>
      </c>
      <c r="AO11" s="1" t="s">
        <v>637</v>
      </c>
      <c r="AP11" s="1" t="s">
        <v>638</v>
      </c>
      <c r="AQ11" s="1" t="s">
        <v>639</v>
      </c>
      <c r="AR11" s="1" t="s">
        <v>640</v>
      </c>
      <c r="AS11" s="1" t="s">
        <v>641</v>
      </c>
      <c r="AT11" s="1" t="s">
        <v>642</v>
      </c>
      <c r="AU11" s="1" t="s">
        <v>643</v>
      </c>
      <c r="AV11" s="1" t="s">
        <v>644</v>
      </c>
      <c r="AW11" s="1" t="s">
        <v>645</v>
      </c>
      <c r="AX11" s="1" t="s">
        <v>646</v>
      </c>
      <c r="AY11" s="1" t="s">
        <v>647</v>
      </c>
      <c r="AZ11" s="1" t="s">
        <v>648</v>
      </c>
      <c r="BA11" s="1" t="s">
        <v>649</v>
      </c>
      <c r="BB11" s="1" t="s">
        <v>650</v>
      </c>
      <c r="BC11" s="1" t="s">
        <v>651</v>
      </c>
      <c r="BD11" s="1" t="s">
        <v>652</v>
      </c>
      <c r="BE11" s="1" t="s">
        <v>653</v>
      </c>
      <c r="BF11" s="1" t="s">
        <v>654</v>
      </c>
      <c r="BG11" s="1" t="s">
        <v>655</v>
      </c>
      <c r="BH11" s="1" t="s">
        <v>656</v>
      </c>
      <c r="BI11" s="1" t="s">
        <v>657</v>
      </c>
      <c r="BJ11" s="1" t="s">
        <v>658</v>
      </c>
      <c r="BK11" s="1" t="s">
        <v>659</v>
      </c>
      <c r="BL11" s="1" t="s">
        <v>660</v>
      </c>
      <c r="BM11" s="1" t="s">
        <v>661</v>
      </c>
      <c r="BN11" s="1" t="s">
        <v>662</v>
      </c>
      <c r="BO11" s="1" t="s">
        <v>663</v>
      </c>
      <c r="BP11" s="1" t="s">
        <v>664</v>
      </c>
      <c r="BQ11" s="1" t="s">
        <v>665</v>
      </c>
      <c r="BR11" s="1" t="s">
        <v>666</v>
      </c>
      <c r="BS11" s="1" t="s">
        <v>667</v>
      </c>
      <c r="BT11" s="1" t="s">
        <v>668</v>
      </c>
      <c r="BU11" s="1" t="s">
        <v>669</v>
      </c>
      <c r="BV11" s="1" t="s">
        <v>670</v>
      </c>
      <c r="BW11" s="1" t="s">
        <v>671</v>
      </c>
      <c r="BX11" s="1" t="s">
        <v>672</v>
      </c>
      <c r="BY11" s="5" t="s">
        <v>673</v>
      </c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33" t="s">
        <v>674</v>
      </c>
      <c r="KY11" s="34" t="s">
        <v>675</v>
      </c>
      <c r="KZ11" s="35"/>
      <c r="LB11" s="27"/>
    </row>
    <row r="12" ht="13.5" customHeight="1">
      <c r="A12" s="6"/>
      <c r="B12" s="36">
        <v>2.0</v>
      </c>
      <c r="C12" s="37"/>
      <c r="D12" s="37"/>
      <c r="E12" s="38"/>
      <c r="F12" s="39"/>
      <c r="G12" s="38"/>
      <c r="H12" s="38"/>
      <c r="I12" s="5"/>
      <c r="J12" s="5"/>
      <c r="K12" s="5"/>
      <c r="L12" s="5"/>
      <c r="M12" s="5"/>
      <c r="N12" s="5"/>
      <c r="O12" s="5"/>
      <c r="P12" s="5"/>
      <c r="Q12" s="5"/>
      <c r="R12" s="1"/>
      <c r="S12" s="1"/>
      <c r="T12" s="1"/>
      <c r="U12" s="1"/>
      <c r="V12" s="1"/>
      <c r="W12" s="1" t="str">
        <f>VLOOKUP($H$9,$V$3:$KU$4,257,0)</f>
        <v>Recurvo Individual</v>
      </c>
      <c r="X12" s="1" t="str">
        <f>VLOOKUP($H$9,$V$3:$KU$4,200,0)</f>
        <v>Libre</v>
      </c>
      <c r="Y12" s="1" t="str">
        <f>VLOOKUP($H$9,$V$3:$KU$4,30,0)</f>
        <v>100m</v>
      </c>
      <c r="Z12" s="1" t="str">
        <f>VLOOKUP($H$9,$V$3:$KU$4,62,0)</f>
        <v>Béisbol</v>
      </c>
      <c r="AA12" s="1" t="str">
        <f>VLOOKUP($H$9,$V$3:$KU$4,56,0)</f>
        <v>Individual</v>
      </c>
      <c r="AB12" s="1" t="str">
        <f>VLOOKUP($H$9,$V$3:$KU$4,60,0)</f>
        <v>Básquetbol 3x3</v>
      </c>
      <c r="AC12" s="1" t="str">
        <f>VLOOKUP($H$9,$V$3:$KU$4,59,0)</f>
        <v>Básquetbol</v>
      </c>
      <c r="AD12" s="1" t="str">
        <f>VLOOKUP($H$9,$V$3:$KU$4,79,0)</f>
        <v>Breaking</v>
      </c>
      <c r="AE12" s="1" t="str">
        <f>VLOOKUP($H$9,$V$3:$KU$4,93,0)</f>
        <v>BMX Freestyle</v>
      </c>
      <c r="AF12" s="1" t="str">
        <f>VLOOKUP($H$9,$V$3:$KU$4,257,0)</f>
        <v>Recurvo Individual</v>
      </c>
      <c r="AG12" s="1" t="str">
        <f>VLOOKUP($H$9,$V$3:$KU$4,64,0)</f>
        <v>Individual</v>
      </c>
      <c r="AH12" s="1" t="str">
        <f>VLOOKUP($H$9,$V$3:$KU$4,110,0)</f>
        <v>Velocidad</v>
      </c>
      <c r="AI12" s="1" t="str">
        <f>VLOOKUP($H$9,$V$3:$KU$4,96,0)</f>
        <v>Contrareloj</v>
      </c>
      <c r="AJ12" s="1" t="str">
        <f>VLOOKUP($H$9,$V$3:$KU$4,90,0)</f>
        <v>K1</v>
      </c>
      <c r="AK12" s="1" t="str">
        <f>VLOOKUP($H$9,$V$3:$KU$4,80,0)</f>
        <v>MK1 1,000m</v>
      </c>
      <c r="AL12" s="1" t="str">
        <f>VLOOKUP($H$9,$V$3:$KU$4,98,0)</f>
        <v>Velocidad Individual</v>
      </c>
      <c r="AM12" s="1" t="str">
        <f>VLOOKUP($H$9,$V$3:$KU$4,2,0)</f>
        <v>Individual 1m Trampolín</v>
      </c>
      <c r="AN12" s="1" t="str">
        <f>VLOOKUP($H$9,$V$3:$KU$4,104,0)</f>
        <v>Adiestramiento Individual</v>
      </c>
      <c r="AO12" s="1" t="str">
        <f>VLOOKUP($H$9,$V$3:$KU$4,123,0)</f>
        <v>Fútbol</v>
      </c>
      <c r="AP12" s="1" t="str">
        <f>VLOOKUP($H$9,$V$3:$KU$4,112,0)</f>
        <v>Espada Individual</v>
      </c>
      <c r="AQ12" s="1" t="str">
        <f>VLOOKUP($H$9,$V$3:$KU$4,124,0)</f>
        <v>Equipos</v>
      </c>
      <c r="AR12" s="1" t="str">
        <f>VLOOKUP($H$9,$V$3:$KU$4,144,0)</f>
        <v>Golf</v>
      </c>
      <c r="AS12" s="1" t="str">
        <f>VLOOKUP($H$9,$V$3:$KU$4,134,0)</f>
        <v>General Individual</v>
      </c>
      <c r="AT12" s="1" t="str">
        <f>VLOOKUP($H$9,$V$3:$KU$4,142,0)</f>
        <v>Individual</v>
      </c>
      <c r="AU12" s="1" t="str">
        <f>VLOOKUP($H$9,$V$3:$KU$4,61,0)</f>
        <v>Balonmano</v>
      </c>
      <c r="AV12" s="1" t="str">
        <f>VLOOKUP($H$9,$V$3:$KU$4,145,0)</f>
        <v>Hockey Césped</v>
      </c>
      <c r="AW12" s="1" t="str">
        <f>VLOOKUP($H$9,$V$3:$KU$4,146,0)</f>
        <v>M -60 Kg</v>
      </c>
      <c r="AX12" s="1" t="str">
        <f>VLOOKUP($H$9,$V$3:$KU$4,161,0)</f>
        <v>Kumite M -60 Kg</v>
      </c>
      <c r="AY12" s="1" t="str">
        <f>VLOOKUP($H$9,$V$3:$KU$4,211,0)</f>
        <v>Individual</v>
      </c>
      <c r="AZ12" s="1" t="str">
        <f>VLOOKUP($H$9,$V$3:$KU$4,95,0)</f>
        <v>Cross-Country</v>
      </c>
      <c r="BA12" s="1" t="str">
        <f>VLOOKUP($H$9,$V$3:$KU$4,29,0)</f>
        <v>Aguas Abiertas</v>
      </c>
      <c r="BB12" s="1" t="str">
        <f>VLOOKUP($H$9,$V$3:$KU$4,207,0)</f>
        <v>Pelota goma – Dobles Trinquete</v>
      </c>
      <c r="BC12" s="1" t="str">
        <f>VLOOKUP($H$9,$V$3:$KU$4,218,0)</f>
        <v>M1x</v>
      </c>
      <c r="BD12" s="1" t="str">
        <f>VLOOKUP($H$9,$V$3:$KU$4,214,0)</f>
        <v>Individual</v>
      </c>
      <c r="BE12" s="1" t="str">
        <f>VLOOKUP($H$9,$V$3:$KU$4,231,0)</f>
        <v>Rugby 7</v>
      </c>
      <c r="BF12" s="1" t="str">
        <f>VLOOKUP($H$9,$V$3:$KU$4,275,0)</f>
        <v>Tabla A Vela (Iqfoil)</v>
      </c>
      <c r="BG12" s="1" t="str">
        <f>VLOOKUP($H$9,$V$3:$KU$4,63,0)</f>
        <v>Sóftbol</v>
      </c>
      <c r="BH12" s="1" t="str">
        <f>VLOOKUP($H$9,$V$3:$KU$4,263,0)</f>
        <v>Rifle 50m 3 Posiciones</v>
      </c>
      <c r="BI12" s="1" t="str">
        <f>VLOOKUP($H$9,$V$3:$KU$4,205,0)</f>
        <v>Street</v>
      </c>
      <c r="BJ12" s="1" t="str">
        <f>VLOOKUP($H$9,$V$3:$KU$4,232,0)</f>
        <v>Individual</v>
      </c>
      <c r="BK12" s="1" t="str">
        <f>VLOOKUP($H$9,$V$3:$KU$4,236,0)</f>
        <v>Shortboard</v>
      </c>
      <c r="BL12" s="1" t="str">
        <f>VLOOKUP($H$9,$V$3:$KU$4,201,0)</f>
        <v>200m Meta Contra Meta</v>
      </c>
      <c r="BM12" s="1" t="str">
        <f>VLOOKUP($H$9,$V$3:$KU$4,27,0)</f>
        <v>Duetos</v>
      </c>
      <c r="BN12" s="1" t="str">
        <f>VLOOKUP($H$9,$V$3:$KU$4,7,0)</f>
        <v>50m libre</v>
      </c>
      <c r="BO12" s="1" t="str">
        <f>VLOOKUP($H$9,$V$3:$KU$4,250,0)</f>
        <v>Individual</v>
      </c>
      <c r="BP12" s="1" t="str">
        <f>VLOOKUP($H$9,$V$3:$KU$4,240,0)</f>
        <v>M Kyorugi -58 Kg</v>
      </c>
      <c r="BQ12" s="1" t="str">
        <f>VLOOKUP($H$9,$V$3:$KU$4,273,0)</f>
        <v>Individual</v>
      </c>
      <c r="BR12" s="1" t="str">
        <f>VLOOKUP($H$9,$V$3:$KU$4,253,0)</f>
        <v>Individual</v>
      </c>
      <c r="BS12" s="1" t="str">
        <f>VLOOKUP($H$9,$V$3:$KU$4,286,0)</f>
        <v>Vóleibol Playa</v>
      </c>
      <c r="BT12" s="1" t="str">
        <f>VLOOKUP($H$9,$V$3:$KU$4,285,0)</f>
        <v>Vóleibol</v>
      </c>
      <c r="BU12" s="1" t="str">
        <f>VLOOKUP($H$9,$V$3:$KU$4,172,0)</f>
        <v>M 61 Kg</v>
      </c>
      <c r="BV12" s="1" t="str">
        <f>VLOOKUP($H$9,$V$3:$KU$4,28,0)</f>
        <v>Polo Acuático</v>
      </c>
      <c r="BW12" s="1" t="str">
        <f>VLOOKUP($H$9,$V$3:$KU$4,182,0)</f>
        <v>Grecoromana 60 Kg</v>
      </c>
      <c r="BX12" s="1" t="str">
        <f>VLOOKUP($H$9,$V$3:$KU$4,118,0)</f>
        <v>Figuras</v>
      </c>
      <c r="BY12" s="1" t="str">
        <f>VLOOKUP($H$9,$V$3:$KW$4,287,0)</f>
        <v>Masculino</v>
      </c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33" t="s">
        <v>676</v>
      </c>
      <c r="KY12" s="34" t="s">
        <v>677</v>
      </c>
      <c r="KZ12" s="40" t="s">
        <v>678</v>
      </c>
      <c r="LB12" s="27"/>
    </row>
    <row r="13" ht="13.5" customHeight="1">
      <c r="A13" s="6"/>
      <c r="B13" s="29">
        <v>3.0</v>
      </c>
      <c r="C13" s="41"/>
      <c r="D13" s="41"/>
      <c r="E13" s="42"/>
      <c r="F13" s="43"/>
      <c r="G13" s="42"/>
      <c r="H13" s="42"/>
      <c r="I13" s="5"/>
      <c r="J13" s="5"/>
      <c r="K13" s="5"/>
      <c r="L13" s="5"/>
      <c r="M13" s="5"/>
      <c r="N13" s="5"/>
      <c r="O13" s="5"/>
      <c r="P13" s="5"/>
      <c r="Q13" s="5"/>
      <c r="R13" s="1"/>
      <c r="S13" s="1"/>
      <c r="T13" s="1"/>
      <c r="U13" s="1"/>
      <c r="V13" s="1"/>
      <c r="W13" s="1" t="str">
        <f>VLOOKUP($H$9,$V$3:$KU$4,258,0)</f>
        <v>Individual Compuesto</v>
      </c>
      <c r="X13" s="5"/>
      <c r="Y13" s="1" t="str">
        <f>VLOOKUP($H$9,$V$3:$KU$4,31,0)</f>
        <v>200m</v>
      </c>
      <c r="Z13" s="5"/>
      <c r="AA13" s="1" t="str">
        <f>VLOOKUP($H$9,$V$3:$KU$4,57,0)</f>
        <v>Dobles</v>
      </c>
      <c r="AB13" s="5"/>
      <c r="AC13" s="5"/>
      <c r="AD13" s="5"/>
      <c r="AE13" s="5"/>
      <c r="AF13" s="5"/>
      <c r="AG13" s="1" t="str">
        <f>VLOOKUP($H$9,$V$3:$KU$4,65,0)</f>
        <v>Dobles</v>
      </c>
      <c r="AH13" s="1" t="str">
        <f>VLOOKUP($H$9,$V$3:$KU$4,111,0)</f>
        <v>Boulder &amp; Lead</v>
      </c>
      <c r="AI13" s="1" t="str">
        <f>VLOOKUP($H$9,$V$3:$KU$4,97,0)</f>
        <v>Gran Fondo</v>
      </c>
      <c r="AJ13" s="1" t="str">
        <f>VLOOKUP($H$9,$V$3:$KU$4,91,0)</f>
        <v>C1</v>
      </c>
      <c r="AK13" s="1" t="str">
        <f>VLOOKUP($H$9,$V$3:$KU$4,81,0)</f>
        <v>MK2 500m</v>
      </c>
      <c r="AL13" s="1" t="str">
        <f>VLOOKUP($H$9,$V$3:$KU$4,99,0)</f>
        <v>Keirin</v>
      </c>
      <c r="AM13" s="1" t="str">
        <f>VLOOKUP($H$9,$V$3:$KU$4,3,0)</f>
        <v>Individual 3m Trampolín</v>
      </c>
      <c r="AN13" s="1" t="str">
        <f>VLOOKUP($H$9,$V$3:$KU$4,105,0)</f>
        <v>Adiestramiento Equipos</v>
      </c>
      <c r="AO13" s="5"/>
      <c r="AP13" s="1" t="str">
        <f>VLOOKUP($H$9,$V$3:$KU$4,113,0)</f>
        <v>Florete Individual</v>
      </c>
      <c r="AQ13" s="1" t="str">
        <f>VLOOKUP($H$9,$V$3:$KU$4,125,0)</f>
        <v>Individual General</v>
      </c>
      <c r="AR13" s="5"/>
      <c r="AS13" s="1" t="str">
        <f>VLOOKUP($H$9,$V$3:$KU$4,135,0)</f>
        <v>Aro</v>
      </c>
      <c r="AT13" s="1" t="str">
        <f>VLOOKUP($H$9,$V$3:$KU$4,143,0)</f>
        <v>Sincronizados</v>
      </c>
      <c r="AU13" s="5"/>
      <c r="AV13" s="5"/>
      <c r="AW13" s="1" t="str">
        <f>VLOOKUP($H$9,$V$3:$KU$4,147,0)</f>
        <v>M -66 Kg</v>
      </c>
      <c r="AX13" s="1" t="str">
        <f>VLOOKUP($H$9,$V$3:$KU$4,162,0)</f>
        <v>Kumite M -67 Kg</v>
      </c>
      <c r="AY13" s="1" t="str">
        <f>VLOOKUP($H$9,$V$3:$KU$4,212,0)</f>
        <v>Relevos</v>
      </c>
      <c r="AZ13" s="5"/>
      <c r="BA13" s="5"/>
      <c r="BB13" s="1" t="str">
        <f>VLOOKUP($H$9,$V$3:$KU$4,208,0)</f>
        <v>Pelota goma – Individual (Frontón)</v>
      </c>
      <c r="BC13" s="1" t="str">
        <f>VLOOKUP($H$9,$V$3:$KU$4,219,0)</f>
        <v>M2x</v>
      </c>
      <c r="BD13" s="1" t="str">
        <f>VLOOKUP($H$9,$V$3:$KU$4,215,0)</f>
        <v>Dobles</v>
      </c>
      <c r="BE13" s="5"/>
      <c r="BF13" s="1" t="str">
        <f>VLOOKUP($H$9,$V$3:$KU$4,276,0)</f>
        <v>Bote (Ilca 7)</v>
      </c>
      <c r="BG13" s="5"/>
      <c r="BH13" s="1" t="str">
        <f>VLOOKUP($H$9,$V$3:$KU$4,264,0)</f>
        <v>10m Rifle De Aire</v>
      </c>
      <c r="BI13" s="1" t="str">
        <f>VLOOKUP($H$9,$V$3:$KU$4,206,0)</f>
        <v>Park</v>
      </c>
      <c r="BJ13" s="1" t="str">
        <f>VLOOKUP($H$9,$V$3:$KU$4,233,0)</f>
        <v>Equipos</v>
      </c>
      <c r="BK13" s="1" t="str">
        <f>VLOOKUP($H$9,$V$3:$KU$4,237,0)</f>
        <v>Sup Surf</v>
      </c>
      <c r="BL13" s="1" t="str">
        <f>VLOOKUP($H$9,$V$3:$KU$4,202,0)</f>
        <v>500m + Distancia</v>
      </c>
      <c r="BM13" s="1" t="str">
        <f>VLOOKUP($H$9,$V$3:$KU$4,26,0)</f>
        <v>Equipos</v>
      </c>
      <c r="BN13" s="1" t="str">
        <f>VLOOKUP($H$9,$V$3:$KU$4,8,0)</f>
        <v>100m libre</v>
      </c>
      <c r="BO13" s="1" t="str">
        <f>VLOOKUP($H$9,$V$3:$KU$4,251,0)</f>
        <v>Dobles</v>
      </c>
      <c r="BP13" s="1" t="str">
        <f>VLOOKUP($H$9,$V$3:$KU$4,241,0)</f>
        <v>M Kyorugi -68 Kg</v>
      </c>
      <c r="BQ13" s="1" t="str">
        <f>VLOOKUP($H$9,$V$3:$KU$4,274,0)</f>
        <v>Relevos Mixtos</v>
      </c>
      <c r="BR13" s="1" t="str">
        <f>VLOOKUP($H$9,$V$3:$KU$4,254,0)</f>
        <v>Equipos</v>
      </c>
      <c r="BS13" s="5"/>
      <c r="BT13" s="5"/>
      <c r="BU13" s="1" t="str">
        <f>VLOOKUP($H$9,$V$3:$KU$4,173,0)</f>
        <v>M 73 Kg</v>
      </c>
      <c r="BV13" s="5"/>
      <c r="BW13" s="1" t="str">
        <f>VLOOKUP($H$9,$V$3:$KU$4,183,0)</f>
        <v>Grecoromana 67 Kg</v>
      </c>
      <c r="BX13" s="1" t="str">
        <f>VLOOKUP($H$9,$V$3:$KU$4,119,0)</f>
        <v>Slalom</v>
      </c>
      <c r="BY13" s="1" t="str">
        <f>VLOOKUP($H$9,$V$3:$KW$4,288,0)</f>
        <v>Femenino</v>
      </c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  <c r="IY13" s="5"/>
      <c r="IZ13" s="5"/>
      <c r="JA13" s="5"/>
      <c r="JB13" s="5"/>
      <c r="JC13" s="5"/>
      <c r="JD13" s="5"/>
      <c r="JE13" s="5"/>
      <c r="JF13" s="5"/>
      <c r="JG13" s="5"/>
      <c r="JH13" s="5"/>
      <c r="JI13" s="5"/>
      <c r="JJ13" s="5"/>
      <c r="JK13" s="5"/>
      <c r="JL13" s="5"/>
      <c r="JM13" s="5"/>
      <c r="JN13" s="5"/>
      <c r="JO13" s="5"/>
      <c r="JP13" s="5"/>
      <c r="JQ13" s="5"/>
      <c r="JR13" s="5"/>
      <c r="JS13" s="5"/>
      <c r="JT13" s="5"/>
      <c r="JU13" s="5"/>
      <c r="JV13" s="5"/>
      <c r="JW13" s="5"/>
      <c r="JX13" s="5"/>
      <c r="JY13" s="5"/>
      <c r="JZ13" s="5"/>
      <c r="KA13" s="5"/>
      <c r="KB13" s="5"/>
      <c r="KC13" s="5"/>
      <c r="KD13" s="5"/>
      <c r="KE13" s="5"/>
      <c r="KF13" s="5"/>
      <c r="KG13" s="5"/>
      <c r="KH13" s="5"/>
      <c r="KI13" s="5"/>
      <c r="KJ13" s="5"/>
      <c r="KK13" s="5"/>
      <c r="KL13" s="5"/>
      <c r="KM13" s="5"/>
      <c r="KN13" s="5"/>
      <c r="KO13" s="5"/>
      <c r="KP13" s="5"/>
      <c r="KQ13" s="5"/>
      <c r="KR13" s="5"/>
      <c r="KS13" s="5"/>
      <c r="KT13" s="5"/>
      <c r="KU13" s="5"/>
      <c r="KV13" s="5"/>
      <c r="KW13" s="5"/>
      <c r="KX13" s="33" t="s">
        <v>679</v>
      </c>
      <c r="KY13" s="34" t="s">
        <v>680</v>
      </c>
      <c r="KZ13" s="40" t="s">
        <v>681</v>
      </c>
      <c r="LB13" s="27" t="s">
        <v>682</v>
      </c>
    </row>
    <row r="14" ht="13.5" customHeight="1">
      <c r="A14" s="6"/>
      <c r="B14" s="36">
        <v>4.0</v>
      </c>
      <c r="C14" s="37"/>
      <c r="D14" s="37"/>
      <c r="E14" s="38"/>
      <c r="F14" s="39"/>
      <c r="G14" s="38"/>
      <c r="H14" s="38"/>
      <c r="I14" s="5"/>
      <c r="J14" s="5"/>
      <c r="K14" s="5"/>
      <c r="L14" s="5"/>
      <c r="M14" s="5"/>
      <c r="N14" s="5"/>
      <c r="O14" s="5"/>
      <c r="P14" s="5"/>
      <c r="Q14" s="5"/>
      <c r="R14" s="1"/>
      <c r="S14" s="1"/>
      <c r="T14" s="1"/>
      <c r="U14" s="1"/>
      <c r="V14" s="1"/>
      <c r="W14" s="1" t="str">
        <f>VLOOKUP($H$9,$V$3:$KU$4,259,0)</f>
        <v>Equipo Recurvo</v>
      </c>
      <c r="X14" s="5"/>
      <c r="Y14" s="1" t="str">
        <f>VLOOKUP($H$9,$V$3:$KU$4,32,0)</f>
        <v>400m</v>
      </c>
      <c r="Z14" s="5"/>
      <c r="AA14" s="1" t="str">
        <f>VLOOKUP($H$9,$V$3:$KU$4,58,0)</f>
        <v>Dobles Mixto</v>
      </c>
      <c r="AB14" s="5"/>
      <c r="AC14" s="5"/>
      <c r="AD14" s="5"/>
      <c r="AE14" s="5"/>
      <c r="AF14" s="5"/>
      <c r="AG14" s="1"/>
      <c r="AH14" s="5"/>
      <c r="AI14" s="5"/>
      <c r="AJ14" s="1" t="str">
        <f>VLOOKUP($H$9,$V$3:$KU$4,92,0)</f>
        <v>K1 Extreme</v>
      </c>
      <c r="AK14" s="1" t="str">
        <f>VLOOKUP($H$9,$V$3:$KU$4,82,0)</f>
        <v>MK4 500m</v>
      </c>
      <c r="AL14" s="1" t="str">
        <f>VLOOKUP($H$9,$V$3:$KU$4,100,0)</f>
        <v>Omnium</v>
      </c>
      <c r="AM14" s="1" t="str">
        <f>VLOOKUP($H$9,$V$3:$KU$4,4,0)</f>
        <v>Individual 10m Plataforma</v>
      </c>
      <c r="AN14" s="1" t="str">
        <f>VLOOKUP($H$9,$V$3:$KU$4,106,0)</f>
        <v>Evento Completo Individual</v>
      </c>
      <c r="AO14" s="5"/>
      <c r="AP14" s="1" t="str">
        <f>VLOOKUP($H$9,$V$3:$KU$4,114,0)</f>
        <v>Sable Individual</v>
      </c>
      <c r="AQ14" s="1" t="str">
        <f>VLOOKUP($H$9,$V$3:$KU$4,126,0)</f>
        <v>Suelo</v>
      </c>
      <c r="AR14" s="5"/>
      <c r="AS14" s="1" t="str">
        <f>VLOOKUP($H$9,$V$3:$KU$4,136,0)</f>
        <v>Pelota</v>
      </c>
      <c r="AT14" s="5"/>
      <c r="AU14" s="5"/>
      <c r="AV14" s="5"/>
      <c r="AW14" s="1" t="str">
        <f>VLOOKUP($H$9,$V$3:$KU$4,148,0)</f>
        <v>M -73 Kg</v>
      </c>
      <c r="AX14" s="1" t="str">
        <f>VLOOKUP($H$9,$V$3:$KU$4,163,0)</f>
        <v>Kumite M -75 Kg</v>
      </c>
      <c r="AY14" s="1" t="str">
        <f>VLOOKUP($H$9,$V$3:$KU$4,213,0)</f>
        <v>Relevos Mixtos</v>
      </c>
      <c r="AZ14" s="5"/>
      <c r="BA14" s="5"/>
      <c r="BB14" s="1" t="str">
        <f>VLOOKUP($H$9,$V$3:$KU$4,209,0)</f>
        <v>Frontenis -Dobles (Frontón)</v>
      </c>
      <c r="BC14" s="1" t="str">
        <f>VLOOKUP($H$9,$V$3:$KU$4,220,0)</f>
        <v>M4x</v>
      </c>
      <c r="BD14" s="1" t="str">
        <f>VLOOKUP($H$9,$V$3:$KU$4,216,0)</f>
        <v>Equipos</v>
      </c>
      <c r="BE14" s="5"/>
      <c r="BF14" s="1" t="str">
        <f>VLOOKUP($H$9,$V$3:$KU$4,277,0)</f>
        <v>Bote (Ilca 6)</v>
      </c>
      <c r="BG14" s="5"/>
      <c r="BH14" s="1" t="str">
        <f>VLOOKUP($H$9,$V$3:$KU$4,265,0)</f>
        <v>10m Pistola De Aire</v>
      </c>
      <c r="BI14" s="5"/>
      <c r="BJ14" s="1" t="str">
        <f>VLOOKUP($H$9,$V$3:$KU$4,234,0)</f>
        <v>Dobles</v>
      </c>
      <c r="BK14" s="1" t="str">
        <f>VLOOKUP($H$9,$V$3:$KU$4,238,0)</f>
        <v>Sup Race</v>
      </c>
      <c r="BL14" s="1" t="str">
        <f>VLOOKUP($H$9,$V$3:$KU$4,203,0)</f>
        <v>10000m Eliminación</v>
      </c>
      <c r="BM14" s="5"/>
      <c r="BN14" s="1" t="str">
        <f>VLOOKUP($H$9,$V$3:$KU$4,9,0)</f>
        <v>200m libre</v>
      </c>
      <c r="BO14" s="1" t="str">
        <f>VLOOKUP($H$9,$V$3:$KU$4,252,0)</f>
        <v>Dobles Mixtos</v>
      </c>
      <c r="BP14" s="1" t="str">
        <f>VLOOKUP($H$9,$V$3:$KU$4,242,0)</f>
        <v>M Kyorugi -80 Kg</v>
      </c>
      <c r="BQ14" s="5"/>
      <c r="BR14" s="1" t="str">
        <f>VLOOKUP($H$9,$V$3:$KU$4,255,0)</f>
        <v>Dobles</v>
      </c>
      <c r="BS14" s="5"/>
      <c r="BT14" s="5"/>
      <c r="BU14" s="1" t="str">
        <f>VLOOKUP($H$9,$V$3:$KU$4,174,0)</f>
        <v>M 89 Kg</v>
      </c>
      <c r="BV14" s="5"/>
      <c r="BW14" s="1" t="str">
        <f>VLOOKUP($H$9,$V$3:$KU$4,184,0)</f>
        <v>Grecoromana 77 Kg</v>
      </c>
      <c r="BX14" s="1" t="str">
        <f>VLOOKUP($H$9,$V$3:$KU$4,120,0)</f>
        <v>Salto</v>
      </c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  <c r="IW14" s="5"/>
      <c r="IX14" s="5"/>
      <c r="IY14" s="5"/>
      <c r="IZ14" s="5"/>
      <c r="JA14" s="5"/>
      <c r="JB14" s="5"/>
      <c r="JC14" s="5"/>
      <c r="JD14" s="5"/>
      <c r="JE14" s="5"/>
      <c r="JF14" s="5"/>
      <c r="JG14" s="5"/>
      <c r="JH14" s="5"/>
      <c r="JI14" s="5"/>
      <c r="JJ14" s="5"/>
      <c r="JK14" s="5"/>
      <c r="JL14" s="5"/>
      <c r="JM14" s="5"/>
      <c r="JN14" s="5"/>
      <c r="JO14" s="5"/>
      <c r="JP14" s="5"/>
      <c r="JQ14" s="5"/>
      <c r="JR14" s="5"/>
      <c r="JS14" s="5"/>
      <c r="JT14" s="5"/>
      <c r="JU14" s="5"/>
      <c r="JV14" s="5"/>
      <c r="JW14" s="5"/>
      <c r="JX14" s="5"/>
      <c r="JY14" s="5"/>
      <c r="JZ14" s="5"/>
      <c r="KA14" s="5"/>
      <c r="KB14" s="5"/>
      <c r="KC14" s="5"/>
      <c r="KD14" s="5"/>
      <c r="KE14" s="5"/>
      <c r="KF14" s="5"/>
      <c r="KG14" s="5"/>
      <c r="KH14" s="5"/>
      <c r="KI14" s="5"/>
      <c r="KJ14" s="5"/>
      <c r="KK14" s="5"/>
      <c r="KL14" s="5"/>
      <c r="KM14" s="5"/>
      <c r="KN14" s="5"/>
      <c r="KO14" s="5"/>
      <c r="KP14" s="5"/>
      <c r="KQ14" s="5"/>
      <c r="KR14" s="5"/>
      <c r="KS14" s="5"/>
      <c r="KT14" s="5"/>
      <c r="KU14" s="5"/>
      <c r="KV14" s="5"/>
      <c r="KW14" s="5"/>
      <c r="KX14" s="33" t="s">
        <v>683</v>
      </c>
      <c r="KY14" s="34" t="s">
        <v>684</v>
      </c>
      <c r="KZ14" s="40" t="s">
        <v>685</v>
      </c>
      <c r="LB14" s="27" t="s">
        <v>686</v>
      </c>
    </row>
    <row r="15" ht="13.5" customHeight="1">
      <c r="A15" s="6"/>
      <c r="B15" s="29">
        <v>5.0</v>
      </c>
      <c r="C15" s="41"/>
      <c r="D15" s="41"/>
      <c r="E15" s="42"/>
      <c r="F15" s="43"/>
      <c r="G15" s="42"/>
      <c r="H15" s="42"/>
      <c r="I15" s="5"/>
      <c r="J15" s="5"/>
      <c r="K15" s="5"/>
      <c r="L15" s="5"/>
      <c r="M15" s="5"/>
      <c r="N15" s="5"/>
      <c r="O15" s="5"/>
      <c r="P15" s="5"/>
      <c r="Q15" s="5"/>
      <c r="R15" s="1"/>
      <c r="S15" s="1"/>
      <c r="T15" s="1"/>
      <c r="U15" s="1"/>
      <c r="V15" s="1"/>
      <c r="W15" s="1" t="str">
        <f>VLOOKUP($H$9,$V$3:$KU$4,260,0)</f>
        <v>Equipo Compuesto</v>
      </c>
      <c r="X15" s="5"/>
      <c r="Y15" s="1" t="str">
        <f>VLOOKUP($H$9,$V$3:$KU$4,33,0)</f>
        <v>800m</v>
      </c>
      <c r="Z15" s="5"/>
      <c r="AA15" s="1"/>
      <c r="AB15" s="5"/>
      <c r="AC15" s="5"/>
      <c r="AD15" s="5"/>
      <c r="AE15" s="5"/>
      <c r="AF15" s="5"/>
      <c r="AG15" s="5"/>
      <c r="AH15" s="5"/>
      <c r="AI15" s="5"/>
      <c r="AJ15" s="1"/>
      <c r="AK15" s="1" t="str">
        <f>VLOOKUP($H$9,$V$3:$KU$4,83,0)</f>
        <v>MC1 1,000m</v>
      </c>
      <c r="AL15" s="1" t="str">
        <f>VLOOKUP($H$9,$V$3:$KU$4,101,0)</f>
        <v>Velocidad Equipos</v>
      </c>
      <c r="AM15" s="1" t="str">
        <f>VLOOKUP($H$9,$V$3:$KU$4,5,0)</f>
        <v>Sincronizados 3m Trampolín</v>
      </c>
      <c r="AN15" s="1" t="str">
        <f>VLOOKUP($H$9,$V$3:$KU$4,107,0)</f>
        <v>Evento Completo Equipos</v>
      </c>
      <c r="AO15" s="5"/>
      <c r="AP15" s="1" t="str">
        <f>VLOOKUP($H$9,$V$3:$KU$4,115,0)</f>
        <v>Espada Equipos</v>
      </c>
      <c r="AQ15" s="1" t="str">
        <f>VLOOKUP($H$9,$V$3:$KU$4,127,0)</f>
        <v>Caballo Con Arzones</v>
      </c>
      <c r="AR15" s="5"/>
      <c r="AS15" s="1" t="str">
        <f>VLOOKUP($H$9,$V$3:$KU$4,137,0)</f>
        <v>Mazas</v>
      </c>
      <c r="AT15" s="5"/>
      <c r="AU15" s="5"/>
      <c r="AV15" s="5"/>
      <c r="AW15" s="1" t="str">
        <f>VLOOKUP($H$9,$V$3:$KU$4,149,0)</f>
        <v>M -81 Kg</v>
      </c>
      <c r="AX15" s="1" t="str">
        <f>VLOOKUP($H$9,$V$3:$KU$4,164,0)</f>
        <v>Kumite M -84 Kg</v>
      </c>
      <c r="AY15" s="5"/>
      <c r="AZ15" s="5"/>
      <c r="BA15" s="5"/>
      <c r="BB15" s="1" t="str">
        <f>VLOOKUP($H$9,$V$3:$KU$4,210,0)</f>
        <v>Frontball</v>
      </c>
      <c r="BC15" s="1" t="str">
        <f>VLOOKUP($H$9,$V$3:$KU$4,221,0)</f>
        <v>M2-</v>
      </c>
      <c r="BD15" s="1" t="str">
        <f>VLOOKUP($H$9,$V$3:$KU$4,217,0)</f>
        <v>Dobles Mixtos</v>
      </c>
      <c r="BE15" s="5"/>
      <c r="BF15" s="1" t="str">
        <f>VLOOKUP($H$9,$V$3:$KU$4,278,0)</f>
        <v>Bote (Sunfish)</v>
      </c>
      <c r="BG15" s="5"/>
      <c r="BH15" s="1" t="str">
        <f>VLOOKUP($H$9,$V$3:$KU$4,266,0)</f>
        <v>25m Pistola De Fuego Rapido</v>
      </c>
      <c r="BI15" s="5"/>
      <c r="BJ15" s="1" t="str">
        <f>VLOOKUP($H$9,$V$3:$KU$4,235,0)</f>
        <v>Dobles Mixtos</v>
      </c>
      <c r="BK15" s="1" t="str">
        <f>VLOOKUP($H$9,$V$3:$KU$4,239,0)</f>
        <v>Longboard</v>
      </c>
      <c r="BL15" s="1" t="str">
        <f>VLOOKUP($H$9,$V$3:$KU$4,204,0)</f>
        <v>1000m Sprint</v>
      </c>
      <c r="BM15" s="5"/>
      <c r="BN15" s="1" t="str">
        <f>VLOOKUP($H$9,$V$3:$KU$4,10,0)</f>
        <v>400m libre</v>
      </c>
      <c r="BO15" s="5"/>
      <c r="BP15" s="1" t="str">
        <f>VLOOKUP($H$9,$V$3:$KU$4,243,0)</f>
        <v>M Kyorugi +80 Kg</v>
      </c>
      <c r="BQ15" s="5"/>
      <c r="BR15" s="1" t="str">
        <f>VLOOKUP($H$9,$V$3:$KU$4,256,0)</f>
        <v>Dobles Mixtos</v>
      </c>
      <c r="BS15" s="5"/>
      <c r="BT15" s="5"/>
      <c r="BU15" s="1" t="str">
        <f>VLOOKUP($H$9,$V$3:$KU$4,175,0)</f>
        <v>M 102 Kg</v>
      </c>
      <c r="BV15" s="5"/>
      <c r="BW15" s="1" t="str">
        <f>VLOOKUP($H$9,$V$3:$KU$4,185,0)</f>
        <v>Grecoromana 87 Kg</v>
      </c>
      <c r="BX15" s="1" t="str">
        <f>VLOOKUP($H$9,$V$3:$KU$4,121,0)</f>
        <v>Overall</v>
      </c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  <c r="JB15" s="5"/>
      <c r="JC15" s="5"/>
      <c r="JD15" s="5"/>
      <c r="JE15" s="5"/>
      <c r="JF15" s="5"/>
      <c r="JG15" s="5"/>
      <c r="JH15" s="5"/>
      <c r="JI15" s="5"/>
      <c r="JJ15" s="5"/>
      <c r="JK15" s="5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33" t="s">
        <v>687</v>
      </c>
      <c r="KY15" s="34" t="s">
        <v>688</v>
      </c>
      <c r="KZ15" s="40" t="s">
        <v>689</v>
      </c>
      <c r="LB15" s="44" t="s">
        <v>690</v>
      </c>
    </row>
    <row r="16" ht="13.5" customHeight="1">
      <c r="A16" s="6"/>
      <c r="B16" s="36">
        <v>6.0</v>
      </c>
      <c r="C16" s="37"/>
      <c r="D16" s="37"/>
      <c r="E16" s="38"/>
      <c r="F16" s="39"/>
      <c r="G16" s="38"/>
      <c r="H16" s="38"/>
      <c r="I16" s="5"/>
      <c r="J16" s="5"/>
      <c r="K16" s="5"/>
      <c r="L16" s="5"/>
      <c r="M16" s="5"/>
      <c r="N16" s="5"/>
      <c r="O16" s="5"/>
      <c r="P16" s="5"/>
      <c r="Q16" s="5"/>
      <c r="R16" s="1"/>
      <c r="S16" s="1"/>
      <c r="T16" s="1"/>
      <c r="U16" s="1"/>
      <c r="V16" s="1"/>
      <c r="W16" s="1" t="str">
        <f>VLOOKUP($H$9,$V$3:$KU$4,261,0)</f>
        <v>Equipo Recurvo Mixto</v>
      </c>
      <c r="X16" s="5"/>
      <c r="Y16" s="1" t="str">
        <f>VLOOKUP($H$9,$V$3:$KU$4,34,0)</f>
        <v>1500m</v>
      </c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1"/>
      <c r="AK16" s="1" t="str">
        <f>VLOOKUP($H$9,$V$3:$KU$4,84,0)</f>
        <v>MC2 500m</v>
      </c>
      <c r="AL16" s="1" t="str">
        <f>VLOOKUP($H$9,$V$3:$KU$4,102,0)</f>
        <v>Persecución Equipos</v>
      </c>
      <c r="AM16" s="1" t="str">
        <f>VLOOKUP($H$9,$V$3:$KU$4,6,0)</f>
        <v>Sincronizados 10m Plataforma</v>
      </c>
      <c r="AN16" s="1" t="str">
        <f>VLOOKUP($H$9,$V$3:$KU$4,108,0)</f>
        <v>Salto Individual</v>
      </c>
      <c r="AO16" s="5"/>
      <c r="AP16" s="1" t="str">
        <f>VLOOKUP($H$9,$V$3:$KU$4,116,0)</f>
        <v>Florete Equipos</v>
      </c>
      <c r="AQ16" s="1" t="str">
        <f>VLOOKUP($H$9,$V$3:$KU$4,128,0)</f>
        <v>Anillas</v>
      </c>
      <c r="AR16" s="5"/>
      <c r="AS16" s="1" t="str">
        <f>VLOOKUP($H$9,$V$3:$KU$4,138,0)</f>
        <v>Cinta</v>
      </c>
      <c r="AT16" s="5"/>
      <c r="AU16" s="5"/>
      <c r="AV16" s="5"/>
      <c r="AW16" s="1" t="str">
        <f>VLOOKUP($H$9,$V$3:$KU$4,150,0)</f>
        <v>M -90 Kg</v>
      </c>
      <c r="AX16" s="1" t="str">
        <f>VLOOKUP($H$9,$V$3:$KU$4,165,0)</f>
        <v>Kumite M +84 Kg</v>
      </c>
      <c r="AY16" s="5"/>
      <c r="AZ16" s="5"/>
      <c r="BA16" s="5"/>
      <c r="BB16" s="5"/>
      <c r="BC16" s="1" t="str">
        <f>VLOOKUP($H$9,$V$3:$KU$4,222,0)</f>
        <v>M4-</v>
      </c>
      <c r="BD16" s="1"/>
      <c r="BE16" s="5"/>
      <c r="BF16" s="1" t="str">
        <f>VLOOKUP($H$9,$V$3:$KU$4,279,0)</f>
        <v>Skiff (49Er)</v>
      </c>
      <c r="BG16" s="5"/>
      <c r="BH16" s="1" t="str">
        <f>VLOOKUP($H$9,$V$3:$KU$4,267,0)</f>
        <v>25m Pistola Deportiva</v>
      </c>
      <c r="BI16" s="5"/>
      <c r="BJ16" s="5"/>
      <c r="BK16" s="1"/>
      <c r="BL16" s="5"/>
      <c r="BM16" s="5"/>
      <c r="BN16" s="1" t="str">
        <f>VLOOKUP($H$9,$V$3:$KU$4,11,0)</f>
        <v>800m libre</v>
      </c>
      <c r="BO16" s="5"/>
      <c r="BP16" s="1" t="str">
        <f>VLOOKUP($H$9,$V$3:$KU$4,244,0)</f>
        <v>F Kyorugi -49 Kg</v>
      </c>
      <c r="BQ16" s="5"/>
      <c r="BR16" s="5"/>
      <c r="BS16" s="5"/>
      <c r="BT16" s="5"/>
      <c r="BU16" s="1" t="str">
        <f>VLOOKUP($H$9,$V$3:$KU$4,176,0)</f>
        <v>M +102 Kg</v>
      </c>
      <c r="BV16" s="5"/>
      <c r="BW16" s="1" t="str">
        <f>VLOOKUP($H$9,$V$3:$KU$4,186,0)</f>
        <v>Grecoromana 97 Kg</v>
      </c>
      <c r="BX16" s="1" t="str">
        <f>VLOOKUP($H$9,$V$3:$KU$4,122,0)</f>
        <v>Wakeboard</v>
      </c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33" t="s">
        <v>691</v>
      </c>
      <c r="KY16" s="34" t="s">
        <v>692</v>
      </c>
      <c r="KZ16" s="40" t="s">
        <v>693</v>
      </c>
      <c r="LB16" s="44" t="s">
        <v>694</v>
      </c>
    </row>
    <row r="17" ht="13.5" customHeight="1">
      <c r="A17" s="6"/>
      <c r="B17" s="29">
        <v>7.0</v>
      </c>
      <c r="C17" s="41"/>
      <c r="D17" s="41"/>
      <c r="E17" s="42"/>
      <c r="F17" s="43"/>
      <c r="G17" s="42"/>
      <c r="H17" s="42"/>
      <c r="I17" s="5"/>
      <c r="J17" s="5"/>
      <c r="K17" s="5"/>
      <c r="L17" s="5"/>
      <c r="M17" s="5"/>
      <c r="N17" s="5"/>
      <c r="O17" s="5"/>
      <c r="P17" s="5"/>
      <c r="Q17" s="5"/>
      <c r="R17" s="1"/>
      <c r="S17" s="1"/>
      <c r="T17" s="1"/>
      <c r="U17" s="1"/>
      <c r="V17" s="1"/>
      <c r="W17" s="1" t="str">
        <f>VLOOKUP($H$9,$V$3:$KU$4,262,0)</f>
        <v>Equipo Compuesto Mixto</v>
      </c>
      <c r="X17" s="5"/>
      <c r="Y17" s="1" t="str">
        <f>VLOOKUP($H$9,$V$3:$KU$4,3,0)</f>
        <v>Individual 3m Trampolín</v>
      </c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1" t="str">
        <f>VLOOKUP($H$9,$V$3:$KU$4,85,0)</f>
        <v>WK1 500m</v>
      </c>
      <c r="AL17" s="1" t="str">
        <f>VLOOKUP($H$9,$V$3:$KU$4,103,0)</f>
        <v>Madison</v>
      </c>
      <c r="AM17" s="5"/>
      <c r="AN17" s="1" t="str">
        <f>VLOOKUP($H$9,$V$3:$KU$4,109,0)</f>
        <v>Salto Equipos</v>
      </c>
      <c r="AO17" s="5"/>
      <c r="AP17" s="1" t="str">
        <f>VLOOKUP($H$9,$V$3:$KU$4,117,0)</f>
        <v>Sable Equipos</v>
      </c>
      <c r="AQ17" s="1" t="str">
        <f>VLOOKUP($H$9,$V$3:$KU$4,129,0)</f>
        <v>Salto</v>
      </c>
      <c r="AR17" s="5"/>
      <c r="AS17" s="1" t="str">
        <f>VLOOKUP($H$9,$V$3:$KU$4,139,0)</f>
        <v>General De Conjuntos</v>
      </c>
      <c r="AT17" s="5"/>
      <c r="AU17" s="5"/>
      <c r="AV17" s="5"/>
      <c r="AW17" s="1" t="str">
        <f>VLOOKUP($H$9,$V$3:$KU$4,151,0)</f>
        <v>M -100 Kg</v>
      </c>
      <c r="AX17" s="1" t="str">
        <f>VLOOKUP($H$9,$V$3:$KU$4,166,0)</f>
        <v>Kumite F -50 Kg</v>
      </c>
      <c r="AY17" s="5"/>
      <c r="AZ17" s="5"/>
      <c r="BA17" s="5"/>
      <c r="BB17" s="5"/>
      <c r="BC17" s="1" t="str">
        <f>VLOOKUP($H$9,$V$3:$KU$4,223,0)</f>
        <v>LM2x</v>
      </c>
      <c r="BD17" s="5"/>
      <c r="BE17" s="5"/>
      <c r="BF17" s="1" t="str">
        <f>VLOOKUP($H$9,$V$3:$KU$4,280,0)</f>
        <v>Skiff (49Er Fx)</v>
      </c>
      <c r="BG17" s="5"/>
      <c r="BH17" s="1" t="str">
        <f>VLOOKUP($H$9,$V$3:$KU$4,268,0)</f>
        <v>Skeet</v>
      </c>
      <c r="BI17" s="5"/>
      <c r="BJ17" s="5"/>
      <c r="BK17" s="5"/>
      <c r="BL17" s="5"/>
      <c r="BM17" s="5"/>
      <c r="BN17" s="1" t="str">
        <f>VLOOKUP($H$9,$V$3:$KU$4,12,0)</f>
        <v>1.500m libre</v>
      </c>
      <c r="BO17" s="5"/>
      <c r="BP17" s="1" t="str">
        <f>VLOOKUP($H$9,$V$3:$KU$4,245,0)</f>
        <v>F Kyorugi -57 Kg</v>
      </c>
      <c r="BQ17" s="5"/>
      <c r="BR17" s="5"/>
      <c r="BS17" s="5"/>
      <c r="BT17" s="5"/>
      <c r="BU17" s="1" t="str">
        <f>VLOOKUP($H$9,$V$3:$KU$4,177,0)</f>
        <v>F 49 Kg</v>
      </c>
      <c r="BV17" s="5"/>
      <c r="BW17" s="1" t="str">
        <f>VLOOKUP($H$9,$V$3:$KU$4,187,0)</f>
        <v>Grecoromana 130 Kg</v>
      </c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5"/>
      <c r="KR17" s="5"/>
      <c r="KS17" s="5"/>
      <c r="KT17" s="5"/>
      <c r="KU17" s="5"/>
      <c r="KV17" s="5"/>
      <c r="KW17" s="5"/>
      <c r="KX17" s="33" t="s">
        <v>695</v>
      </c>
      <c r="KY17" s="34" t="s">
        <v>696</v>
      </c>
      <c r="KZ17" s="40" t="s">
        <v>697</v>
      </c>
    </row>
    <row r="18" ht="13.5" customHeight="1">
      <c r="A18" s="6"/>
      <c r="B18" s="36">
        <v>8.0</v>
      </c>
      <c r="C18" s="37"/>
      <c r="D18" s="37"/>
      <c r="E18" s="38"/>
      <c r="F18" s="39"/>
      <c r="G18" s="38"/>
      <c r="H18" s="38"/>
      <c r="I18" s="5"/>
      <c r="J18" s="5"/>
      <c r="K18" s="5"/>
      <c r="L18" s="5"/>
      <c r="M18" s="5"/>
      <c r="N18" s="5"/>
      <c r="O18" s="5"/>
      <c r="P18" s="5"/>
      <c r="Q18" s="5"/>
      <c r="R18" s="1"/>
      <c r="S18" s="1"/>
      <c r="T18" s="1"/>
      <c r="U18" s="1"/>
      <c r="V18" s="1"/>
      <c r="W18" s="1"/>
      <c r="X18" s="5"/>
      <c r="Y18" s="1" t="str">
        <f>VLOOKUP($H$9,$V$3:$KU$4,35,0)</f>
        <v>5000m</v>
      </c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1" t="str">
        <f>VLOOKUP($H$9,$V$3:$KU$4,86,0)</f>
        <v>WK2 500m</v>
      </c>
      <c r="AL18" s="5"/>
      <c r="AM18" s="5"/>
      <c r="AN18" s="5"/>
      <c r="AO18" s="5"/>
      <c r="AP18" s="5"/>
      <c r="AQ18" s="1" t="str">
        <f>VLOOKUP($H$9,$V$3:$KU$4,130,0)</f>
        <v>Barras Paralelas</v>
      </c>
      <c r="AR18" s="5"/>
      <c r="AS18" s="1" t="str">
        <f>VLOOKUP($H$9,$V$3:$KU$4,140,0)</f>
        <v>5 Aros</v>
      </c>
      <c r="AT18" s="5"/>
      <c r="AU18" s="5"/>
      <c r="AV18" s="5"/>
      <c r="AW18" s="1" t="str">
        <f>VLOOKUP($H$9,$V$3:$KU$4,152,0)</f>
        <v>M +100 Kg</v>
      </c>
      <c r="AX18" s="1" t="str">
        <f>VLOOKUP($H$9,$V$3:$KU$4,167,0)</f>
        <v>Kumite F -55 Kg</v>
      </c>
      <c r="AY18" s="5"/>
      <c r="AZ18" s="5"/>
      <c r="BA18" s="5"/>
      <c r="BB18" s="5"/>
      <c r="BC18" s="1" t="str">
        <f>VLOOKUP($H$9,$V$3:$KU$4,224,0)</f>
        <v>W1x</v>
      </c>
      <c r="BD18" s="5"/>
      <c r="BE18" s="5"/>
      <c r="BF18" s="1" t="str">
        <f>VLOOKUP($H$9,$V$3:$KU$4,281,0)</f>
        <v>Kite (Fomula Kite)</v>
      </c>
      <c r="BG18" s="5"/>
      <c r="BH18" s="1" t="str">
        <f>VLOOKUP($H$9,$V$3:$KU$4,269,0)</f>
        <v>Trap</v>
      </c>
      <c r="BI18" s="5"/>
      <c r="BJ18" s="5"/>
      <c r="BK18" s="5"/>
      <c r="BL18" s="5"/>
      <c r="BM18" s="5"/>
      <c r="BN18" s="1" t="str">
        <f>VLOOKUP($H$9,$V$3:$KU$4,13,0)</f>
        <v>100m espalda</v>
      </c>
      <c r="BO18" s="5"/>
      <c r="BP18" s="1" t="str">
        <f>VLOOKUP($H$9,$V$3:$KU$4,246,0)</f>
        <v>F Kyorugi -67 Kg</v>
      </c>
      <c r="BQ18" s="5"/>
      <c r="BR18" s="5"/>
      <c r="BS18" s="5"/>
      <c r="BT18" s="5"/>
      <c r="BU18" s="1" t="str">
        <f>VLOOKUP($H$9,$V$3:$KU$4,178,0)</f>
        <v>F 59 Kg</v>
      </c>
      <c r="BV18" s="5"/>
      <c r="BW18" s="1" t="str">
        <f>VLOOKUP($H$9,$V$3:$KU$4,188,0)</f>
        <v>Libre M 57 Kg</v>
      </c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5"/>
      <c r="KN18" s="5"/>
      <c r="KO18" s="5"/>
      <c r="KP18" s="5"/>
      <c r="KQ18" s="5"/>
      <c r="KR18" s="5"/>
      <c r="KS18" s="5"/>
      <c r="KT18" s="5"/>
      <c r="KU18" s="5"/>
      <c r="KV18" s="5"/>
      <c r="KW18" s="5"/>
      <c r="KX18" s="33" t="s">
        <v>698</v>
      </c>
      <c r="KY18" s="34" t="s">
        <v>699</v>
      </c>
      <c r="KZ18" s="40" t="s">
        <v>700</v>
      </c>
    </row>
    <row r="19" ht="13.5" customHeight="1">
      <c r="A19" s="6"/>
      <c r="B19" s="29">
        <v>9.0</v>
      </c>
      <c r="C19" s="41"/>
      <c r="D19" s="41"/>
      <c r="E19" s="42"/>
      <c r="F19" s="43"/>
      <c r="G19" s="42"/>
      <c r="H19" s="42"/>
      <c r="I19" s="5"/>
      <c r="J19" s="5"/>
      <c r="K19" s="5"/>
      <c r="L19" s="5"/>
      <c r="M19" s="5"/>
      <c r="N19" s="5"/>
      <c r="O19" s="5"/>
      <c r="P19" s="5"/>
      <c r="Q19" s="5"/>
      <c r="R19" s="1"/>
      <c r="S19" s="1"/>
      <c r="T19" s="1"/>
      <c r="U19" s="1"/>
      <c r="V19" s="1"/>
      <c r="W19" s="1"/>
      <c r="X19" s="5"/>
      <c r="Y19" s="1" t="str">
        <f>VLOOKUP($H$9,$V$3:$KU$4,36,0)</f>
        <v>10000m</v>
      </c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1" t="str">
        <f>VLOOKUP($H$9,$V$3:$KU$4,87,0)</f>
        <v>WK4 500M</v>
      </c>
      <c r="AL19" s="5"/>
      <c r="AM19" s="5"/>
      <c r="AN19" s="5"/>
      <c r="AO19" s="5"/>
      <c r="AP19" s="5"/>
      <c r="AQ19" s="1" t="str">
        <f>VLOOKUP($H$9,$V$3:$KU$4,131,0)</f>
        <v>Barra Fija</v>
      </c>
      <c r="AR19" s="5"/>
      <c r="AS19" s="1" t="str">
        <f>VLOOKUP($H$9,$V$3:$KU$4,141,0)</f>
        <v>3 Cintas/2 Pelotas</v>
      </c>
      <c r="AT19" s="5"/>
      <c r="AU19" s="5"/>
      <c r="AV19" s="5"/>
      <c r="AW19" s="1" t="str">
        <f>VLOOKUP($H$9,$V$3:$KU$4,153,0)</f>
        <v>F -48 Kg</v>
      </c>
      <c r="AX19" s="1" t="str">
        <f>VLOOKUP($H$9,$V$3:$KU$4,168,0)</f>
        <v>Kumite F -61 Kg</v>
      </c>
      <c r="AY19" s="5"/>
      <c r="AZ19" s="5"/>
      <c r="BA19" s="5"/>
      <c r="BB19" s="5"/>
      <c r="BC19" s="1" t="str">
        <f>VLOOKUP($H$9,$V$3:$KU$4,225,0)</f>
        <v>W2x</v>
      </c>
      <c r="BD19" s="5"/>
      <c r="BE19" s="5"/>
      <c r="BF19" s="1" t="str">
        <f>VLOOKUP($H$9,$V$3:$KU$4,282,0)</f>
        <v>Mixto Catamarán (Nacra 17)</v>
      </c>
      <c r="BG19" s="5"/>
      <c r="BH19" s="1" t="str">
        <f>VLOOKUP($H$9,$V$3:$KU$4,270,0)</f>
        <v>Mixto 10m Rifle De Aire</v>
      </c>
      <c r="BI19" s="5"/>
      <c r="BJ19" s="5"/>
      <c r="BK19" s="5"/>
      <c r="BL19" s="5"/>
      <c r="BM19" s="5"/>
      <c r="BN19" s="1" t="str">
        <f>VLOOKUP($H$9,$V$3:$KU$4,14,0)</f>
        <v>200m espalda</v>
      </c>
      <c r="BO19" s="5"/>
      <c r="BP19" s="1" t="str">
        <f>VLOOKUP($H$9,$V$3:$KU$4,247,0)</f>
        <v>F Kyorugi +67 Kg</v>
      </c>
      <c r="BQ19" s="5"/>
      <c r="BR19" s="5"/>
      <c r="BS19" s="5"/>
      <c r="BT19" s="5"/>
      <c r="BU19" s="1" t="str">
        <f>VLOOKUP($H$9,$V$3:$KU$4,179,0)</f>
        <v>F 71 Kg</v>
      </c>
      <c r="BV19" s="5"/>
      <c r="BW19" s="1" t="str">
        <f>VLOOKUP($H$9,$V$3:$KU$4,189,0)</f>
        <v>Libre M 65 Kg</v>
      </c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33" t="s">
        <v>701</v>
      </c>
      <c r="KY19" s="34" t="s">
        <v>702</v>
      </c>
      <c r="KZ19" s="40" t="s">
        <v>703</v>
      </c>
    </row>
    <row r="20" ht="13.5" customHeight="1">
      <c r="A20" s="6"/>
      <c r="B20" s="36">
        <v>10.0</v>
      </c>
      <c r="C20" s="37"/>
      <c r="D20" s="37"/>
      <c r="E20" s="38"/>
      <c r="F20" s="39"/>
      <c r="G20" s="38"/>
      <c r="H20" s="38"/>
      <c r="I20" s="5"/>
      <c r="J20" s="5"/>
      <c r="K20" s="5"/>
      <c r="L20" s="5"/>
      <c r="M20" s="5"/>
      <c r="N20" s="5"/>
      <c r="O20" s="5"/>
      <c r="P20" s="5"/>
      <c r="Q20" s="5"/>
      <c r="R20" s="1"/>
      <c r="S20" s="1"/>
      <c r="T20" s="1"/>
      <c r="U20" s="1"/>
      <c r="V20" s="1"/>
      <c r="W20" s="1"/>
      <c r="X20" s="5"/>
      <c r="Y20" s="1" t="str">
        <f>VLOOKUP($H$9,$V$3:$KU$4,37,0)</f>
        <v>110 / 100 vallas</v>
      </c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1" t="str">
        <f>VLOOKUP($H$9,$V$3:$KU$4,88,0)</f>
        <v>WC1 200m</v>
      </c>
      <c r="AL20" s="5"/>
      <c r="AM20" s="5"/>
      <c r="AN20" s="5"/>
      <c r="AO20" s="5"/>
      <c r="AP20" s="5"/>
      <c r="AQ20" s="1" t="str">
        <f>VLOOKUP($H$9,$V$3:$KU$4,132,0)</f>
        <v>Barras Asimétricas</v>
      </c>
      <c r="AR20" s="5"/>
      <c r="AS20" s="5"/>
      <c r="AT20" s="5"/>
      <c r="AU20" s="5"/>
      <c r="AV20" s="5"/>
      <c r="AW20" s="1" t="str">
        <f>VLOOKUP($H$9,$V$3:$KU$4,154,0)</f>
        <v>F -52 Kg</v>
      </c>
      <c r="AX20" s="1" t="str">
        <f>VLOOKUP($H$9,$V$3:$KU$4,169,0)</f>
        <v>Kumite F -68 Kg </v>
      </c>
      <c r="AY20" s="5"/>
      <c r="AZ20" s="5"/>
      <c r="BA20" s="5"/>
      <c r="BB20" s="5"/>
      <c r="BC20" s="1" t="str">
        <f>VLOOKUP($H$9,$V$3:$KU$4,226,0)</f>
        <v>W4x</v>
      </c>
      <c r="BD20" s="5"/>
      <c r="BE20" s="5"/>
      <c r="BF20" s="1" t="str">
        <f>VLOOKUP($H$9,$V$3:$KU$4,283,0)</f>
        <v>Mixto Bote (Snipe)</v>
      </c>
      <c r="BG20" s="5"/>
      <c r="BH20" s="1" t="str">
        <f>VLOOKUP($H$9,$V$3:$KU$4,271,0)</f>
        <v>Mixto 10m Pistola De Aire</v>
      </c>
      <c r="BI20" s="5"/>
      <c r="BJ20" s="5"/>
      <c r="BK20" s="5"/>
      <c r="BL20" s="5"/>
      <c r="BM20" s="5"/>
      <c r="BN20" s="1" t="str">
        <f>VLOOKUP($H$9,$V$3:$KU$4,15,0)</f>
        <v>100m pecho</v>
      </c>
      <c r="BO20" s="5"/>
      <c r="BP20" s="1" t="str">
        <f>VLOOKUP($H$9,$V$3:$KU$4,248,0)</f>
        <v>Poomsae Tradicional Individual</v>
      </c>
      <c r="BQ20" s="5"/>
      <c r="BR20" s="5"/>
      <c r="BS20" s="5"/>
      <c r="BT20" s="5"/>
      <c r="BU20" s="1" t="str">
        <f>VLOOKUP($H$9,$V$3:$KU$4,180,0)</f>
        <v>F 81 Kg</v>
      </c>
      <c r="BV20" s="5"/>
      <c r="BW20" s="1" t="str">
        <f>VLOOKUP($H$9,$V$3:$KU$4,190,0)</f>
        <v>Libre M 74 Kg</v>
      </c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33" t="s">
        <v>704</v>
      </c>
      <c r="KY20" s="34" t="s">
        <v>705</v>
      </c>
      <c r="KZ20" s="35"/>
    </row>
    <row r="21" ht="13.5" customHeight="1">
      <c r="A21" s="5"/>
      <c r="B21" s="29">
        <v>11.0</v>
      </c>
      <c r="C21" s="30"/>
      <c r="D21" s="30"/>
      <c r="E21" s="31"/>
      <c r="F21" s="45"/>
      <c r="G21" s="31"/>
      <c r="H21" s="31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1"/>
      <c r="W21" s="1"/>
      <c r="X21" s="5"/>
      <c r="Y21" s="1" t="str">
        <f>VLOOKUP($H$9,$V$3:$KU$4,38,0)</f>
        <v>400 Vallas</v>
      </c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1" t="str">
        <f>VLOOKUP($H$9,$V$3:$KU$4,89,0)</f>
        <v>WC2 500m</v>
      </c>
      <c r="AL21" s="5"/>
      <c r="AM21" s="5"/>
      <c r="AN21" s="5"/>
      <c r="AO21" s="5"/>
      <c r="AP21" s="5"/>
      <c r="AQ21" s="1" t="str">
        <f>VLOOKUP($H$9,$V$3:$KU$4,133,0)</f>
        <v>Viga De Equilibrio</v>
      </c>
      <c r="AR21" s="5"/>
      <c r="AS21" s="5"/>
      <c r="AT21" s="5"/>
      <c r="AU21" s="5"/>
      <c r="AV21" s="5"/>
      <c r="AW21" s="1" t="str">
        <f>VLOOKUP($H$9,$V$3:$KU$4,155,0)</f>
        <v>F -57 Kg</v>
      </c>
      <c r="AX21" s="1" t="str">
        <f>VLOOKUP($H$9,$V$3:$KU$4,170,0)</f>
        <v>Kumite F +68 Kg</v>
      </c>
      <c r="AY21" s="5"/>
      <c r="AZ21" s="5"/>
      <c r="BA21" s="5"/>
      <c r="BB21" s="5"/>
      <c r="BC21" s="1" t="str">
        <f>VLOOKUP($H$9,$V$3:$KU$4,227,0)</f>
        <v>W2-</v>
      </c>
      <c r="BD21" s="5"/>
      <c r="BE21" s="5"/>
      <c r="BF21" s="1" t="str">
        <f>VLOOKUP($H$9,$V$3:$KU$4,284,0)</f>
        <v>Mixto Bote (Lightning)</v>
      </c>
      <c r="BG21" s="5"/>
      <c r="BH21" s="1" t="str">
        <f>VLOOKUP($H$9,$V$3:$KU$4,272,0)</f>
        <v>Mixto Skeet</v>
      </c>
      <c r="BI21" s="5"/>
      <c r="BJ21" s="5"/>
      <c r="BK21" s="5"/>
      <c r="BL21" s="5"/>
      <c r="BM21" s="5"/>
      <c r="BN21" s="1" t="str">
        <f>VLOOKUP($H$9,$V$3:$KU$4,16,0)</f>
        <v>200m pecho</v>
      </c>
      <c r="BO21" s="5"/>
      <c r="BP21" s="1" t="str">
        <f>VLOOKUP($H$9,$V$3:$KU$4,249,0)</f>
        <v>Poomsae Parejas Libres</v>
      </c>
      <c r="BQ21" s="5"/>
      <c r="BR21" s="5"/>
      <c r="BS21" s="5"/>
      <c r="BT21" s="5"/>
      <c r="BU21" s="1" t="str">
        <f>VLOOKUP($H$9,$V$3:$KU$4,181,0)</f>
        <v>F +81 Kg</v>
      </c>
      <c r="BV21" s="5"/>
      <c r="BW21" s="1" t="str">
        <f>VLOOKUP($H$9,$V$3:$KU$4,191,0)</f>
        <v>Libre M 86 Kg</v>
      </c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33" t="s">
        <v>706</v>
      </c>
      <c r="KY21" s="34" t="s">
        <v>707</v>
      </c>
      <c r="KZ21" s="35"/>
    </row>
    <row r="22" ht="13.5" customHeight="1">
      <c r="A22" s="5"/>
      <c r="B22" s="36">
        <v>12.0</v>
      </c>
      <c r="C22" s="37"/>
      <c r="D22" s="37"/>
      <c r="E22" s="38"/>
      <c r="F22" s="39"/>
      <c r="G22" s="38"/>
      <c r="H22" s="38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1"/>
      <c r="W22" s="1"/>
      <c r="X22" s="5"/>
      <c r="Y22" s="1" t="str">
        <f>VLOOKUP($H$9,$V$3:$KU$4,39,0)</f>
        <v>3000 con obstáculos</v>
      </c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1" t="str">
        <f>VLOOKUP($H$9,$V$3:$KU$4,156,0)</f>
        <v>F -63 Kg</v>
      </c>
      <c r="AX22" s="1" t="str">
        <f>VLOOKUP($H$9,$V$3:$KU$4,171,0)</f>
        <v>Kata</v>
      </c>
      <c r="AY22" s="5"/>
      <c r="AZ22" s="5"/>
      <c r="BA22" s="5"/>
      <c r="BB22" s="5"/>
      <c r="BC22" s="1" t="str">
        <f>VLOOKUP($H$9,$V$3:$KU$4,228,0)</f>
        <v>W4-</v>
      </c>
      <c r="BD22" s="5"/>
      <c r="BE22" s="5"/>
      <c r="BF22" s="1"/>
      <c r="BG22" s="5"/>
      <c r="BH22" s="5"/>
      <c r="BI22" s="5"/>
      <c r="BJ22" s="5"/>
      <c r="BK22" s="5"/>
      <c r="BL22" s="5"/>
      <c r="BM22" s="5"/>
      <c r="BN22" s="1" t="str">
        <f>VLOOKUP($H$9,$V$3:$KU$4,17,0)</f>
        <v>100m mariposa</v>
      </c>
      <c r="BO22" s="5"/>
      <c r="BP22" s="5" t="s">
        <v>708</v>
      </c>
      <c r="BQ22" s="5"/>
      <c r="BR22" s="5"/>
      <c r="BS22" s="5"/>
      <c r="BT22" s="5"/>
      <c r="BU22" s="5"/>
      <c r="BV22" s="5"/>
      <c r="BW22" s="1" t="str">
        <f>VLOOKUP($H$9,$V$3:$KU$4,192,0)</f>
        <v>Libre M 97 Kg</v>
      </c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33" t="s">
        <v>709</v>
      </c>
      <c r="KY22" s="34" t="s">
        <v>710</v>
      </c>
      <c r="KZ22" s="35"/>
    </row>
    <row r="23" ht="13.5" customHeight="1">
      <c r="A23" s="5"/>
      <c r="B23" s="29">
        <v>13.0</v>
      </c>
      <c r="C23" s="41"/>
      <c r="D23" s="41"/>
      <c r="E23" s="42"/>
      <c r="F23" s="43"/>
      <c r="G23" s="42"/>
      <c r="H23" s="42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1"/>
      <c r="W23" s="1"/>
      <c r="X23" s="5"/>
      <c r="Y23" s="1" t="str">
        <f>VLOOKUP($H$9,$V$3:$KU$4,40,0)</f>
        <v>4x100m</v>
      </c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1" t="str">
        <f>VLOOKUP($H$9,$V$3:$KU$4,157,0)</f>
        <v>F -70 Kg</v>
      </c>
      <c r="AX23" s="5"/>
      <c r="AY23" s="5"/>
      <c r="AZ23" s="5"/>
      <c r="BA23" s="5"/>
      <c r="BB23" s="5"/>
      <c r="BC23" s="1" t="str">
        <f>VLOOKUP($H$9,$V$3:$KU$4,229,0)</f>
        <v>LW2x</v>
      </c>
      <c r="BD23" s="5"/>
      <c r="BE23" s="5"/>
      <c r="BF23" s="1"/>
      <c r="BG23" s="5"/>
      <c r="BH23" s="5"/>
      <c r="BI23" s="5"/>
      <c r="BJ23" s="5"/>
      <c r="BK23" s="5"/>
      <c r="BL23" s="5"/>
      <c r="BM23" s="5"/>
      <c r="BN23" s="1" t="str">
        <f t="shared" ref="BN23:BN24" si="1">VLOOKUP($H$9,$V$3:$KU$4,18,0)</f>
        <v>200m mariposa</v>
      </c>
      <c r="BO23" s="5"/>
      <c r="BP23" s="5" t="s">
        <v>711</v>
      </c>
      <c r="BQ23" s="5"/>
      <c r="BR23" s="5"/>
      <c r="BS23" s="5"/>
      <c r="BT23" s="5"/>
      <c r="BU23" s="5"/>
      <c r="BV23" s="5"/>
      <c r="BW23" s="1" t="str">
        <f>VLOOKUP($H$9,$V$3:$KU$4,193,0)</f>
        <v>Libre M 125 Kg</v>
      </c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33" t="s">
        <v>712</v>
      </c>
      <c r="KY23" s="34" t="s">
        <v>713</v>
      </c>
      <c r="KZ23" s="35"/>
    </row>
    <row r="24" ht="13.5" customHeight="1">
      <c r="A24" s="5"/>
      <c r="B24" s="36">
        <v>14.0</v>
      </c>
      <c r="C24" s="37"/>
      <c r="D24" s="37"/>
      <c r="E24" s="38"/>
      <c r="F24" s="39"/>
      <c r="G24" s="38"/>
      <c r="H24" s="38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1"/>
      <c r="W24" s="5"/>
      <c r="X24" s="5"/>
      <c r="Y24" s="1" t="str">
        <f>VLOOKUP($H$9,$V$3:$KU$4,41,0)</f>
        <v>4x400m</v>
      </c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1" t="str">
        <f>VLOOKUP($H$9,$V$3:$KU$4,158,0)</f>
        <v>F -78 Kg</v>
      </c>
      <c r="AX24" s="5"/>
      <c r="AY24" s="5"/>
      <c r="AZ24" s="5"/>
      <c r="BA24" s="5"/>
      <c r="BB24" s="5"/>
      <c r="BC24" s="1" t="str">
        <f>VLOOKUP($H$9,$V$3:$KU$4,230,0)</f>
        <v>Mixto 8+</v>
      </c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1" t="str">
        <f t="shared" si="1"/>
        <v>200m mariposa</v>
      </c>
      <c r="BO24" s="5"/>
      <c r="BP24" s="5"/>
      <c r="BQ24" s="5"/>
      <c r="BR24" s="5"/>
      <c r="BS24" s="5"/>
      <c r="BT24" s="5"/>
      <c r="BU24" s="5"/>
      <c r="BV24" s="5"/>
      <c r="BW24" s="1" t="str">
        <f>VLOOKUP($H$9,$V$3:$KU$4,194,0)</f>
        <v>Libre F 50 Kg</v>
      </c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33" t="s">
        <v>714</v>
      </c>
      <c r="KY24" s="34" t="s">
        <v>715</v>
      </c>
      <c r="KZ24" s="35"/>
    </row>
    <row r="25" ht="13.5" customHeight="1">
      <c r="A25" s="1"/>
      <c r="B25" s="29">
        <v>15.0</v>
      </c>
      <c r="C25" s="41"/>
      <c r="D25" s="41"/>
      <c r="E25" s="42"/>
      <c r="F25" s="43"/>
      <c r="G25" s="42"/>
      <c r="H25" s="42"/>
      <c r="I25" s="5"/>
      <c r="J25" s="5"/>
      <c r="K25" s="5"/>
      <c r="L25" s="5"/>
      <c r="M25" s="5"/>
      <c r="N25" s="5"/>
      <c r="O25" s="5"/>
      <c r="P25" s="5"/>
      <c r="Q25" s="5"/>
      <c r="R25" s="1"/>
      <c r="S25" s="1"/>
      <c r="T25" s="1"/>
      <c r="U25" s="1"/>
      <c r="V25" s="1"/>
      <c r="W25" s="5"/>
      <c r="X25" s="5"/>
      <c r="Y25" s="1" t="str">
        <f>VLOOKUP($H$9,$V$3:$KU$4,42,0)</f>
        <v>Salto de Altura</v>
      </c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1" t="str">
        <f>VLOOKUP($H$9,$V$3:$KU$4,159,0)</f>
        <v>F +78 Kg</v>
      </c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1" t="str">
        <f>VLOOKUP($H$9,$V$3:$KU$4,19,0)</f>
        <v>200m combinado individual</v>
      </c>
      <c r="BO25" s="5"/>
      <c r="BP25" s="5"/>
      <c r="BQ25" s="5"/>
      <c r="BR25" s="5"/>
      <c r="BS25" s="5"/>
      <c r="BT25" s="5"/>
      <c r="BU25" s="5"/>
      <c r="BV25" s="5"/>
      <c r="BW25" s="1" t="str">
        <f>VLOOKUP($H$9,$V$3:$KU$4,195,0)</f>
        <v>Libre F 53 Kg</v>
      </c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33" t="s">
        <v>716</v>
      </c>
      <c r="KY25" s="34" t="s">
        <v>717</v>
      </c>
      <c r="KZ25" s="35"/>
    </row>
    <row r="26" ht="13.5" customHeight="1">
      <c r="A26" s="1"/>
      <c r="B26" s="36">
        <v>16.0</v>
      </c>
      <c r="C26" s="37"/>
      <c r="D26" s="37"/>
      <c r="E26" s="38"/>
      <c r="F26" s="39"/>
      <c r="G26" s="38"/>
      <c r="H26" s="38"/>
      <c r="I26" s="5"/>
      <c r="J26" s="5"/>
      <c r="K26" s="5"/>
      <c r="L26" s="5"/>
      <c r="M26" s="5"/>
      <c r="N26" s="5"/>
      <c r="O26" s="5"/>
      <c r="P26" s="5"/>
      <c r="Q26" s="5"/>
      <c r="R26" s="1"/>
      <c r="S26" s="1"/>
      <c r="T26" s="1"/>
      <c r="U26" s="1"/>
      <c r="V26" s="1"/>
      <c r="W26" s="5"/>
      <c r="X26" s="5"/>
      <c r="Y26" s="1" t="str">
        <f>VLOOKUP($H$9,$V$3:$KU$4,43,0)</f>
        <v>Salto de Longitud</v>
      </c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1" t="str">
        <f>VLOOKUP($H$9,$V$3:$KU$4,160,0)</f>
        <v>Equipo  mixto</v>
      </c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1" t="str">
        <f>VLOOKUP($H$9,$V$3:$KU$4,20,0)</f>
        <v>400m combinado individual</v>
      </c>
      <c r="BO26" s="5"/>
      <c r="BP26" s="5"/>
      <c r="BQ26" s="5"/>
      <c r="BR26" s="5"/>
      <c r="BS26" s="5"/>
      <c r="BT26" s="5"/>
      <c r="BU26" s="5"/>
      <c r="BV26" s="5"/>
      <c r="BW26" s="1" t="str">
        <f>VLOOKUP($H$9,$V$3:$KU$4,196,0)</f>
        <v>Libre F 57 Kg</v>
      </c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33" t="s">
        <v>718</v>
      </c>
      <c r="KY26" s="34" t="s">
        <v>719</v>
      </c>
      <c r="KZ26" s="35"/>
    </row>
    <row r="27" ht="13.5" customHeight="1">
      <c r="A27" s="1"/>
      <c r="B27" s="29">
        <v>17.0</v>
      </c>
      <c r="C27" s="30"/>
      <c r="D27" s="30"/>
      <c r="E27" s="31"/>
      <c r="F27" s="45"/>
      <c r="G27" s="31"/>
      <c r="H27" s="31"/>
      <c r="I27" s="5"/>
      <c r="J27" s="5"/>
      <c r="K27" s="5"/>
      <c r="L27" s="5"/>
      <c r="M27" s="5"/>
      <c r="N27" s="5"/>
      <c r="O27" s="5"/>
      <c r="P27" s="5"/>
      <c r="Q27" s="5"/>
      <c r="R27" s="1"/>
      <c r="S27" s="1"/>
      <c r="T27" s="1"/>
      <c r="U27" s="1"/>
      <c r="V27" s="1"/>
      <c r="W27" s="5"/>
      <c r="X27" s="5"/>
      <c r="Y27" s="1" t="str">
        <f>VLOOKUP($H$9,$V$3:$KU$4,44,0)</f>
        <v>Salto Triple</v>
      </c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1" t="str">
        <f>VLOOKUP($H$9,$V$3:$KU$4,21,0)</f>
        <v>4 x 100m posta libre</v>
      </c>
      <c r="BO27" s="5"/>
      <c r="BP27" s="5"/>
      <c r="BQ27" s="5"/>
      <c r="BR27" s="5"/>
      <c r="BS27" s="5"/>
      <c r="BT27" s="5"/>
      <c r="BU27" s="5"/>
      <c r="BV27" s="5"/>
      <c r="BW27" s="1" t="str">
        <f>VLOOKUP($H$9,$V$3:$KU$4,197,0)</f>
        <v>Libre F 62 Kg</v>
      </c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33" t="s">
        <v>720</v>
      </c>
      <c r="KY27" s="34" t="s">
        <v>721</v>
      </c>
      <c r="KZ27" s="35"/>
    </row>
    <row r="28" ht="13.5" customHeight="1">
      <c r="A28" s="1"/>
      <c r="B28" s="36">
        <v>18.0</v>
      </c>
      <c r="C28" s="37"/>
      <c r="D28" s="37"/>
      <c r="E28" s="38"/>
      <c r="F28" s="39"/>
      <c r="G28" s="38"/>
      <c r="H28" s="38"/>
      <c r="I28" s="5"/>
      <c r="J28" s="5"/>
      <c r="K28" s="5"/>
      <c r="L28" s="5"/>
      <c r="M28" s="5"/>
      <c r="N28" s="5"/>
      <c r="O28" s="5"/>
      <c r="P28" s="5"/>
      <c r="Q28" s="5"/>
      <c r="R28" s="1"/>
      <c r="S28" s="1"/>
      <c r="T28" s="1"/>
      <c r="U28" s="1"/>
      <c r="V28" s="1"/>
      <c r="W28" s="5"/>
      <c r="X28" s="5"/>
      <c r="Y28" s="1" t="str">
        <f>VLOOKUP($H$9,$V$3:$KU$4,45,0)</f>
        <v>Salto con Pérdiga</v>
      </c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1" t="str">
        <f>VLOOKUP($H$9,$V$3:$KU$4,22,0)</f>
        <v>4 x 200m posta libre</v>
      </c>
      <c r="BO28" s="5"/>
      <c r="BP28" s="5"/>
      <c r="BQ28" s="5"/>
      <c r="BR28" s="5"/>
      <c r="BS28" s="5"/>
      <c r="BT28" s="5"/>
      <c r="BU28" s="5"/>
      <c r="BV28" s="5"/>
      <c r="BW28" s="1" t="str">
        <f>VLOOKUP($H$9,$V$3:$KU$4,198,0)</f>
        <v>Libre F 68 Kg</v>
      </c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33" t="s">
        <v>722</v>
      </c>
      <c r="KY28" s="34" t="s">
        <v>723</v>
      </c>
      <c r="KZ28" s="35"/>
    </row>
    <row r="29" ht="13.5" customHeight="1">
      <c r="A29" s="1"/>
      <c r="B29" s="29">
        <v>19.0</v>
      </c>
      <c r="C29" s="41"/>
      <c r="D29" s="41"/>
      <c r="E29" s="42"/>
      <c r="F29" s="43"/>
      <c r="G29" s="42"/>
      <c r="H29" s="42"/>
      <c r="I29" s="5"/>
      <c r="J29" s="5"/>
      <c r="K29" s="5"/>
      <c r="L29" s="5"/>
      <c r="M29" s="5"/>
      <c r="N29" s="5"/>
      <c r="O29" s="5"/>
      <c r="P29" s="5"/>
      <c r="Q29" s="5"/>
      <c r="R29" s="1"/>
      <c r="S29" s="1"/>
      <c r="T29" s="1"/>
      <c r="U29" s="1"/>
      <c r="V29" s="1"/>
      <c r="W29" s="5"/>
      <c r="X29" s="5"/>
      <c r="Y29" s="1" t="str">
        <f>VLOOKUP($H$9,$V$3:$KU$4,46,0)</f>
        <v>Lanzamiento de Bala</v>
      </c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1" t="str">
        <f>VLOOKUP($H$9,$V$3:$KU$4,23,0)</f>
        <v>4 x 100m posta combinada</v>
      </c>
      <c r="BO29" s="5"/>
      <c r="BP29" s="5"/>
      <c r="BQ29" s="5"/>
      <c r="BR29" s="5"/>
      <c r="BS29" s="5"/>
      <c r="BT29" s="5"/>
      <c r="BU29" s="5"/>
      <c r="BV29" s="5"/>
      <c r="BW29" s="1" t="str">
        <f>VLOOKUP($H$9,$V$3:$KU$4,199,0)</f>
        <v>Libre F 76 Kg</v>
      </c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33" t="s">
        <v>724</v>
      </c>
      <c r="KY29" s="34" t="s">
        <v>725</v>
      </c>
      <c r="KZ29" s="35"/>
    </row>
    <row r="30" ht="13.5" customHeight="1">
      <c r="A30" s="1"/>
      <c r="B30" s="36">
        <v>20.0</v>
      </c>
      <c r="C30" s="37"/>
      <c r="D30" s="37"/>
      <c r="E30" s="38"/>
      <c r="F30" s="39"/>
      <c r="G30" s="38"/>
      <c r="H30" s="38"/>
      <c r="I30" s="5"/>
      <c r="J30" s="5"/>
      <c r="K30" s="5"/>
      <c r="L30" s="5"/>
      <c r="M30" s="5"/>
      <c r="N30" s="5"/>
      <c r="O30" s="5"/>
      <c r="P30" s="5"/>
      <c r="Q30" s="5"/>
      <c r="R30" s="1"/>
      <c r="S30" s="1"/>
      <c r="T30" s="1"/>
      <c r="U30" s="1"/>
      <c r="V30" s="1"/>
      <c r="W30" s="5"/>
      <c r="X30" s="5"/>
      <c r="Y30" s="1" t="str">
        <f>VLOOKUP($H$9,$V$3:$KU$4,47,0)</f>
        <v>Lanzamiento de Disco</v>
      </c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1" t="str">
        <f>VLOOKUP($H$9,$V$3:$KU$4,24,0)</f>
        <v>Mixto 4 x 100m posta libre</v>
      </c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33" t="s">
        <v>726</v>
      </c>
      <c r="KY30" s="34" t="s">
        <v>727</v>
      </c>
      <c r="KZ30" s="35"/>
    </row>
    <row r="31" ht="13.5" customHeight="1">
      <c r="A31" s="1"/>
      <c r="B31" s="29">
        <v>21.0</v>
      </c>
      <c r="C31" s="41"/>
      <c r="D31" s="41"/>
      <c r="E31" s="42"/>
      <c r="F31" s="43"/>
      <c r="G31" s="42"/>
      <c r="H31" s="42"/>
      <c r="I31" s="5"/>
      <c r="J31" s="5"/>
      <c r="K31" s="5"/>
      <c r="L31" s="5"/>
      <c r="M31" s="5"/>
      <c r="N31" s="5"/>
      <c r="O31" s="5"/>
      <c r="P31" s="5"/>
      <c r="Q31" s="5"/>
      <c r="R31" s="1"/>
      <c r="S31" s="1"/>
      <c r="T31" s="1"/>
      <c r="U31" s="1"/>
      <c r="V31" s="1"/>
      <c r="W31" s="5"/>
      <c r="X31" s="5"/>
      <c r="Y31" s="1" t="str">
        <f>VLOOKUP($H$9,$V$3:$KU$4,48,0)</f>
        <v>Lanzamiento de Jabalina</v>
      </c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1" t="str">
        <f>VLOOKUP($H$9,$V$3:$KU$4,25,0)</f>
        <v>Mixto 4 x 100m posta combinada</v>
      </c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33" t="s">
        <v>728</v>
      </c>
      <c r="KY31" s="34" t="s">
        <v>729</v>
      </c>
      <c r="KZ31" s="35"/>
    </row>
    <row r="32" ht="13.5" customHeight="1">
      <c r="A32" s="1"/>
      <c r="B32" s="36">
        <v>22.0</v>
      </c>
      <c r="C32" s="37"/>
      <c r="D32" s="37"/>
      <c r="E32" s="38"/>
      <c r="F32" s="39"/>
      <c r="G32" s="38"/>
      <c r="H32" s="38"/>
      <c r="I32" s="5"/>
      <c r="J32" s="5"/>
      <c r="K32" s="5"/>
      <c r="L32" s="5"/>
      <c r="M32" s="5"/>
      <c r="N32" s="5"/>
      <c r="O32" s="5"/>
      <c r="P32" s="5"/>
      <c r="Q32" s="5"/>
      <c r="R32" s="1"/>
      <c r="S32" s="1"/>
      <c r="T32" s="1"/>
      <c r="U32" s="1"/>
      <c r="V32" s="1"/>
      <c r="W32" s="5"/>
      <c r="X32" s="5"/>
      <c r="Y32" s="1" t="str">
        <f>VLOOKUP($H$9,$V$3:$KU$4,49,0)</f>
        <v>Lanzamiento de Martillo</v>
      </c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  <c r="IV32" s="5"/>
      <c r="IW32" s="5"/>
      <c r="IX32" s="5"/>
      <c r="IY32" s="5"/>
      <c r="IZ32" s="5"/>
      <c r="JA32" s="5"/>
      <c r="JB32" s="5"/>
      <c r="JC32" s="5"/>
      <c r="JD32" s="5"/>
      <c r="JE32" s="5"/>
      <c r="JF32" s="5"/>
      <c r="JG32" s="5"/>
      <c r="JH32" s="5"/>
      <c r="JI32" s="5"/>
      <c r="JJ32" s="5"/>
      <c r="JK32" s="5"/>
      <c r="JL32" s="5"/>
      <c r="JM32" s="5"/>
      <c r="JN32" s="5"/>
      <c r="JO32" s="5"/>
      <c r="JP32" s="5"/>
      <c r="JQ32" s="5"/>
      <c r="JR32" s="5"/>
      <c r="JS32" s="5"/>
      <c r="JT32" s="5"/>
      <c r="JU32" s="5"/>
      <c r="JV32" s="5"/>
      <c r="JW32" s="5"/>
      <c r="JX32" s="5"/>
      <c r="JY32" s="5"/>
      <c r="JZ32" s="5"/>
      <c r="KA32" s="5"/>
      <c r="KB32" s="5"/>
      <c r="KC32" s="5"/>
      <c r="KD32" s="5"/>
      <c r="KE32" s="5"/>
      <c r="KF32" s="5"/>
      <c r="KG32" s="5"/>
      <c r="KH32" s="5"/>
      <c r="KI32" s="5"/>
      <c r="KJ32" s="5"/>
      <c r="KK32" s="5"/>
      <c r="KL32" s="5"/>
      <c r="KM32" s="5"/>
      <c r="KN32" s="5"/>
      <c r="KO32" s="5"/>
      <c r="KP32" s="5"/>
      <c r="KQ32" s="5"/>
      <c r="KR32" s="5"/>
      <c r="KS32" s="5"/>
      <c r="KT32" s="5"/>
      <c r="KU32" s="5"/>
      <c r="KV32" s="5"/>
      <c r="KW32" s="5"/>
      <c r="KX32" s="33" t="s">
        <v>730</v>
      </c>
      <c r="KY32" s="34" t="s">
        <v>731</v>
      </c>
      <c r="KZ32" s="35"/>
    </row>
    <row r="33" ht="13.5" customHeight="1">
      <c r="A33" s="1"/>
      <c r="B33" s="29">
        <v>23.0</v>
      </c>
      <c r="C33" s="30"/>
      <c r="D33" s="30"/>
      <c r="E33" s="31"/>
      <c r="F33" s="45"/>
      <c r="G33" s="31"/>
      <c r="H33" s="31"/>
      <c r="I33" s="5"/>
      <c r="J33" s="5"/>
      <c r="K33" s="5"/>
      <c r="L33" s="5"/>
      <c r="M33" s="5"/>
      <c r="N33" s="5"/>
      <c r="O33" s="5"/>
      <c r="P33" s="5"/>
      <c r="Q33" s="5"/>
      <c r="R33" s="1"/>
      <c r="S33" s="1"/>
      <c r="T33" s="1"/>
      <c r="U33" s="1"/>
      <c r="V33" s="6"/>
      <c r="W33" s="5"/>
      <c r="Y33" s="6" t="str">
        <f>VLOOKUP($H$9,$V$3:$KU$4,50,0)</f>
        <v>20 km marcha</v>
      </c>
      <c r="KX33" s="33" t="s">
        <v>732</v>
      </c>
      <c r="KY33" s="34" t="s">
        <v>733</v>
      </c>
      <c r="KZ33" s="35"/>
    </row>
    <row r="34" ht="13.5" customHeight="1">
      <c r="A34" s="1"/>
      <c r="B34" s="36">
        <v>24.0</v>
      </c>
      <c r="C34" s="37"/>
      <c r="D34" s="37"/>
      <c r="E34" s="38"/>
      <c r="F34" s="39"/>
      <c r="G34" s="38"/>
      <c r="H34" s="38"/>
      <c r="I34" s="5"/>
      <c r="J34" s="5"/>
      <c r="K34" s="5"/>
      <c r="L34" s="5"/>
      <c r="M34" s="5"/>
      <c r="N34" s="5"/>
      <c r="O34" s="5"/>
      <c r="P34" s="5"/>
      <c r="Q34" s="5"/>
      <c r="R34" s="1"/>
      <c r="S34" s="1"/>
      <c r="T34" s="1"/>
      <c r="U34" s="1"/>
      <c r="V34" s="6"/>
      <c r="W34" s="5"/>
      <c r="Y34" s="6" t="str">
        <f>VLOOKUP($H$9,$V$3:$KU$4,51,0)</f>
        <v>Marathon</v>
      </c>
      <c r="KX34" s="33" t="s">
        <v>734</v>
      </c>
      <c r="KY34" s="34" t="s">
        <v>735</v>
      </c>
      <c r="KZ34" s="35"/>
    </row>
    <row r="35" ht="13.5" customHeight="1">
      <c r="A35" s="1"/>
      <c r="B35" s="1"/>
      <c r="C35" s="1"/>
      <c r="D35" s="1"/>
      <c r="E35" s="3"/>
      <c r="F35" s="3"/>
      <c r="G35" s="3"/>
      <c r="H35" s="4"/>
      <c r="I35" s="4"/>
      <c r="J35" s="1"/>
      <c r="K35" s="5"/>
      <c r="L35" s="5"/>
      <c r="M35" s="5"/>
      <c r="N35" s="5"/>
      <c r="O35" s="5"/>
      <c r="P35" s="5"/>
      <c r="Q35" s="5"/>
      <c r="R35" s="1"/>
      <c r="S35" s="1"/>
      <c r="T35" s="1"/>
      <c r="U35" s="1"/>
      <c r="V35" s="6"/>
      <c r="W35" s="5"/>
      <c r="Y35" s="6" t="str">
        <f>VLOOKUP($H$9,$V$3:$KU$4,52,0)</f>
        <v>Decatlón</v>
      </c>
      <c r="KX35" s="33" t="s">
        <v>736</v>
      </c>
      <c r="KY35" s="34" t="s">
        <v>737</v>
      </c>
      <c r="KZ35" s="35"/>
    </row>
    <row r="36" ht="13.5" customHeight="1">
      <c r="A36" s="1"/>
      <c r="B36" s="1"/>
      <c r="C36" s="1"/>
      <c r="D36" s="1"/>
      <c r="E36" s="3"/>
      <c r="F36" s="3"/>
      <c r="G36" s="3"/>
      <c r="H36" s="4"/>
      <c r="I36" s="4"/>
      <c r="J36" s="1"/>
      <c r="K36" s="5"/>
      <c r="L36" s="5"/>
      <c r="M36" s="5"/>
      <c r="N36" s="5"/>
      <c r="O36" s="5"/>
      <c r="P36" s="5"/>
      <c r="Q36" s="5"/>
      <c r="R36" s="1"/>
      <c r="S36" s="1"/>
      <c r="T36" s="1"/>
      <c r="U36" s="1"/>
      <c r="V36" s="6"/>
      <c r="W36" s="5"/>
      <c r="Y36" s="6" t="str">
        <f>VLOOKUP($H$9,$V$3:$KU$4,53,0)</f>
        <v>Heptatlón</v>
      </c>
      <c r="KX36" s="33" t="s">
        <v>738</v>
      </c>
      <c r="KY36" s="34" t="s">
        <v>739</v>
      </c>
      <c r="KZ36" s="35"/>
    </row>
    <row r="37" ht="13.5" customHeight="1">
      <c r="A37" s="1"/>
      <c r="B37" s="1"/>
      <c r="C37" s="1"/>
      <c r="D37" s="1"/>
      <c r="E37" s="3"/>
      <c r="F37" s="3"/>
      <c r="G37" s="3"/>
      <c r="H37" s="4"/>
      <c r="I37" s="4"/>
      <c r="J37" s="1"/>
      <c r="K37" s="5"/>
      <c r="L37" s="5"/>
      <c r="M37" s="5"/>
      <c r="N37" s="5"/>
      <c r="O37" s="5"/>
      <c r="P37" s="5"/>
      <c r="Q37" s="5"/>
      <c r="R37" s="1"/>
      <c r="S37" s="1"/>
      <c r="T37" s="1"/>
      <c r="U37" s="1"/>
      <c r="V37" s="6"/>
      <c r="W37" s="5"/>
      <c r="Y37" s="6" t="str">
        <f>VLOOKUP($H$9,$V$3:$KU$4,54,0)</f>
        <v>Mixto 35 km marcha</v>
      </c>
      <c r="KX37" s="33" t="s">
        <v>740</v>
      </c>
      <c r="KY37" s="34" t="s">
        <v>741</v>
      </c>
      <c r="KZ37" s="35"/>
    </row>
    <row r="38" ht="13.5" customHeight="1">
      <c r="A38" s="1"/>
      <c r="B38" s="1"/>
      <c r="C38" s="1"/>
      <c r="D38" s="1"/>
      <c r="E38" s="3"/>
      <c r="F38" s="3"/>
      <c r="G38" s="3"/>
      <c r="H38" s="4"/>
      <c r="I38" s="4"/>
      <c r="J38" s="1"/>
      <c r="K38" s="5"/>
      <c r="L38" s="5"/>
      <c r="M38" s="5"/>
      <c r="N38" s="5"/>
      <c r="O38" s="5"/>
      <c r="P38" s="5"/>
      <c r="Q38" s="5"/>
      <c r="R38" s="1"/>
      <c r="S38" s="1"/>
      <c r="T38" s="1"/>
      <c r="U38" s="1"/>
      <c r="V38" s="6"/>
      <c r="W38" s="5"/>
      <c r="Y38" s="6" t="str">
        <f>VLOOKUP($H$9,$V$3:$KU$4,55,0)</f>
        <v>Mixto 4x400m</v>
      </c>
      <c r="KX38" s="33" t="s">
        <v>742</v>
      </c>
      <c r="KY38" s="34" t="s">
        <v>743</v>
      </c>
      <c r="KZ38" s="35"/>
    </row>
    <row r="39" ht="13.5" customHeight="1">
      <c r="A39" s="1"/>
      <c r="B39" s="1"/>
      <c r="C39" s="1"/>
      <c r="D39" s="1"/>
      <c r="E39" s="3"/>
      <c r="F39" s="3"/>
      <c r="G39" s="3"/>
      <c r="H39" s="4"/>
      <c r="I39" s="4"/>
      <c r="J39" s="1"/>
      <c r="K39" s="5"/>
      <c r="L39" s="5"/>
      <c r="M39" s="5"/>
      <c r="N39" s="5"/>
      <c r="O39" s="5"/>
      <c r="P39" s="5"/>
      <c r="Q39" s="5"/>
      <c r="R39" s="1"/>
      <c r="S39" s="1"/>
      <c r="T39" s="1"/>
      <c r="U39" s="1"/>
      <c r="V39" s="6"/>
      <c r="W39" s="1"/>
      <c r="KX39" s="33" t="s">
        <v>744</v>
      </c>
      <c r="KY39" s="34" t="s">
        <v>745</v>
      </c>
      <c r="KZ39" s="35"/>
    </row>
    <row r="40" ht="13.5" customHeight="1">
      <c r="A40" s="1"/>
      <c r="B40" s="1"/>
      <c r="C40" s="1"/>
      <c r="D40" s="1"/>
      <c r="E40" s="3"/>
      <c r="F40" s="3"/>
      <c r="G40" s="3"/>
      <c r="H40" s="4"/>
      <c r="I40" s="4"/>
      <c r="J40" s="1"/>
      <c r="K40" s="5"/>
      <c r="L40" s="5"/>
      <c r="M40" s="5"/>
      <c r="N40" s="5"/>
      <c r="O40" s="5"/>
      <c r="P40" s="5"/>
      <c r="Q40" s="5"/>
      <c r="R40" s="1"/>
      <c r="S40" s="1"/>
      <c r="T40" s="1"/>
      <c r="U40" s="1"/>
      <c r="V40" s="6"/>
      <c r="W40" s="1"/>
      <c r="KX40" s="33" t="s">
        <v>746</v>
      </c>
      <c r="KY40" s="34" t="s">
        <v>747</v>
      </c>
      <c r="KZ40" s="35"/>
    </row>
    <row r="41" ht="13.5" customHeight="1">
      <c r="A41" s="1"/>
      <c r="B41" s="1"/>
      <c r="C41" s="1"/>
      <c r="D41" s="1"/>
      <c r="E41" s="3"/>
      <c r="F41" s="3"/>
      <c r="G41" s="3"/>
      <c r="H41" s="4"/>
      <c r="I41" s="4"/>
      <c r="J41" s="1"/>
      <c r="K41" s="5"/>
      <c r="L41" s="5"/>
      <c r="M41" s="5"/>
      <c r="N41" s="5"/>
      <c r="O41" s="5"/>
      <c r="P41" s="5"/>
      <c r="Q41" s="5"/>
      <c r="R41" s="1"/>
      <c r="S41" s="1"/>
      <c r="T41" s="1"/>
      <c r="U41" s="1"/>
      <c r="V41" s="6"/>
      <c r="W41" s="1"/>
      <c r="KX41" s="33" t="s">
        <v>748</v>
      </c>
      <c r="KY41" s="34" t="s">
        <v>749</v>
      </c>
      <c r="KZ41" s="35"/>
    </row>
    <row r="42" ht="13.5" customHeight="1">
      <c r="A42" s="1"/>
      <c r="B42" s="1"/>
      <c r="C42" s="1"/>
      <c r="D42" s="1"/>
      <c r="E42" s="3"/>
      <c r="F42" s="3"/>
      <c r="G42" s="3"/>
      <c r="H42" s="4"/>
      <c r="I42" s="4"/>
      <c r="J42" s="1"/>
      <c r="K42" s="5"/>
      <c r="L42" s="5"/>
      <c r="M42" s="5"/>
      <c r="N42" s="5"/>
      <c r="O42" s="5"/>
      <c r="P42" s="5"/>
      <c r="Q42" s="5"/>
      <c r="R42" s="1"/>
      <c r="S42" s="1"/>
      <c r="T42" s="1"/>
      <c r="U42" s="1"/>
      <c r="V42" s="6"/>
      <c r="W42" s="1"/>
      <c r="KX42" s="46" t="s">
        <v>750</v>
      </c>
      <c r="KY42" s="47" t="s">
        <v>751</v>
      </c>
      <c r="KZ42" s="35"/>
    </row>
    <row r="43" ht="13.5" customHeight="1">
      <c r="A43" s="1"/>
      <c r="B43" s="1"/>
      <c r="C43" s="1"/>
      <c r="D43" s="1"/>
      <c r="E43" s="3"/>
      <c r="F43" s="3"/>
      <c r="G43" s="3"/>
      <c r="H43" s="4"/>
      <c r="I43" s="4"/>
      <c r="J43" s="1"/>
      <c r="K43" s="5"/>
      <c r="L43" s="5"/>
      <c r="M43" s="5"/>
      <c r="N43" s="5"/>
      <c r="O43" s="5"/>
      <c r="P43" s="5"/>
      <c r="Q43" s="5"/>
      <c r="R43" s="1"/>
      <c r="S43" s="1"/>
      <c r="T43" s="1"/>
      <c r="U43" s="1"/>
      <c r="V43" s="6"/>
      <c r="W43" s="1"/>
      <c r="KX43" s="33" t="s">
        <v>752</v>
      </c>
      <c r="KY43" s="34" t="s">
        <v>753</v>
      </c>
      <c r="KZ43" s="35"/>
    </row>
    <row r="44" ht="13.5" customHeight="1">
      <c r="A44" s="1"/>
      <c r="B44" s="1"/>
      <c r="C44" s="1"/>
      <c r="D44" s="1"/>
      <c r="E44" s="3"/>
      <c r="F44" s="3"/>
      <c r="G44" s="3"/>
      <c r="H44" s="4"/>
      <c r="I44" s="4"/>
      <c r="J44" s="1"/>
      <c r="K44" s="5"/>
      <c r="L44" s="5"/>
      <c r="M44" s="5"/>
      <c r="N44" s="5"/>
      <c r="O44" s="5"/>
      <c r="P44" s="5"/>
      <c r="Q44" s="5"/>
      <c r="R44" s="1"/>
      <c r="S44" s="1"/>
      <c r="T44" s="1"/>
      <c r="U44" s="1"/>
      <c r="V44" s="6"/>
      <c r="W44" s="1"/>
      <c r="KX44" s="33" t="s">
        <v>754</v>
      </c>
      <c r="KY44" s="34" t="s">
        <v>755</v>
      </c>
      <c r="KZ44" s="35"/>
    </row>
    <row r="45" ht="13.5" customHeight="1">
      <c r="A45" s="1"/>
      <c r="B45" s="1"/>
      <c r="C45" s="1"/>
      <c r="D45" s="1"/>
      <c r="E45" s="3"/>
      <c r="F45" s="3"/>
      <c r="G45" s="3"/>
      <c r="H45" s="4"/>
      <c r="I45" s="4"/>
      <c r="J45" s="1"/>
      <c r="K45" s="5"/>
      <c r="L45" s="5"/>
      <c r="M45" s="5"/>
      <c r="N45" s="5"/>
      <c r="O45" s="5"/>
      <c r="P45" s="5"/>
      <c r="Q45" s="5"/>
      <c r="R45" s="1"/>
      <c r="S45" s="1"/>
      <c r="T45" s="1"/>
      <c r="U45" s="1"/>
      <c r="V45" s="6"/>
      <c r="W45" s="1"/>
      <c r="KX45" s="33" t="s">
        <v>756</v>
      </c>
      <c r="KY45" s="34" t="s">
        <v>757</v>
      </c>
      <c r="KZ45" s="35"/>
    </row>
    <row r="46" ht="13.5" customHeight="1">
      <c r="A46" s="1"/>
      <c r="B46" s="1"/>
      <c r="C46" s="1"/>
      <c r="D46" s="1"/>
      <c r="E46" s="3"/>
      <c r="F46" s="3"/>
      <c r="G46" s="3"/>
      <c r="H46" s="4"/>
      <c r="I46" s="4"/>
      <c r="J46" s="1"/>
      <c r="K46" s="5"/>
      <c r="L46" s="5"/>
      <c r="M46" s="5"/>
      <c r="N46" s="5"/>
      <c r="O46" s="5"/>
      <c r="P46" s="5"/>
      <c r="Q46" s="5"/>
      <c r="R46" s="1"/>
      <c r="S46" s="1"/>
      <c r="T46" s="1"/>
      <c r="U46" s="1"/>
      <c r="V46" s="6"/>
      <c r="W46" s="1"/>
      <c r="KX46" s="33" t="s">
        <v>758</v>
      </c>
      <c r="KY46" s="34" t="s">
        <v>759</v>
      </c>
      <c r="KZ46" s="35"/>
    </row>
    <row r="47" ht="13.5" customHeight="1">
      <c r="A47" s="1"/>
      <c r="B47" s="1"/>
      <c r="C47" s="1"/>
      <c r="D47" s="1"/>
      <c r="E47" s="3"/>
      <c r="F47" s="3"/>
      <c r="G47" s="3"/>
      <c r="H47" s="4"/>
      <c r="I47" s="4"/>
      <c r="J47" s="1"/>
      <c r="K47" s="5"/>
      <c r="L47" s="5"/>
      <c r="M47" s="5"/>
      <c r="N47" s="5"/>
      <c r="O47" s="5"/>
      <c r="P47" s="5"/>
      <c r="Q47" s="5"/>
      <c r="R47" s="1"/>
      <c r="S47" s="1"/>
      <c r="T47" s="1"/>
      <c r="U47" s="1"/>
      <c r="V47" s="6"/>
      <c r="W47" s="1"/>
      <c r="KX47" s="33" t="s">
        <v>760</v>
      </c>
      <c r="KY47" s="34" t="s">
        <v>761</v>
      </c>
      <c r="KZ47" s="35"/>
    </row>
    <row r="48" ht="13.5" customHeight="1">
      <c r="A48" s="1"/>
      <c r="B48" s="1"/>
      <c r="C48" s="1"/>
      <c r="D48" s="1"/>
      <c r="E48" s="3"/>
      <c r="F48" s="3"/>
      <c r="G48" s="3"/>
      <c r="H48" s="4"/>
      <c r="I48" s="4"/>
      <c r="J48" s="1"/>
      <c r="K48" s="5"/>
      <c r="L48" s="5"/>
      <c r="M48" s="5"/>
      <c r="N48" s="5"/>
      <c r="O48" s="5"/>
      <c r="P48" s="5"/>
      <c r="Q48" s="5"/>
      <c r="R48" s="1"/>
      <c r="S48" s="1"/>
      <c r="T48" s="1"/>
      <c r="U48" s="1"/>
      <c r="V48" s="6"/>
      <c r="W48" s="1"/>
      <c r="KX48" s="33" t="s">
        <v>762</v>
      </c>
      <c r="KY48" s="34" t="s">
        <v>763</v>
      </c>
      <c r="KZ48" s="35"/>
    </row>
    <row r="49" ht="13.5" customHeight="1">
      <c r="A49" s="1"/>
      <c r="B49" s="1"/>
      <c r="C49" s="1"/>
      <c r="D49" s="1"/>
      <c r="E49" s="3"/>
      <c r="F49" s="3"/>
      <c r="G49" s="3"/>
      <c r="H49" s="4"/>
      <c r="I49" s="4"/>
      <c r="J49" s="1"/>
      <c r="K49" s="5"/>
      <c r="L49" s="5"/>
      <c r="M49" s="5"/>
      <c r="N49" s="5"/>
      <c r="O49" s="5"/>
      <c r="P49" s="5"/>
      <c r="Q49" s="5"/>
      <c r="R49" s="1"/>
      <c r="S49" s="1"/>
      <c r="T49" s="1"/>
      <c r="U49" s="1"/>
      <c r="V49" s="6"/>
      <c r="W49" s="1"/>
      <c r="KX49" s="33" t="s">
        <v>764</v>
      </c>
      <c r="KY49" s="34" t="s">
        <v>765</v>
      </c>
      <c r="KZ49" s="35"/>
    </row>
    <row r="50" ht="13.5" customHeight="1">
      <c r="A50" s="1"/>
      <c r="B50" s="1"/>
      <c r="C50" s="1"/>
      <c r="D50" s="1"/>
      <c r="E50" s="3"/>
      <c r="F50" s="3"/>
      <c r="G50" s="3"/>
      <c r="H50" s="4"/>
      <c r="I50" s="4"/>
      <c r="J50" s="1"/>
      <c r="K50" s="5"/>
      <c r="L50" s="5"/>
      <c r="M50" s="5"/>
      <c r="N50" s="5"/>
      <c r="O50" s="5"/>
      <c r="P50" s="5"/>
      <c r="Q50" s="5"/>
      <c r="R50" s="1"/>
      <c r="S50" s="1"/>
      <c r="T50" s="1"/>
      <c r="U50" s="1"/>
      <c r="V50" s="6"/>
      <c r="W50" s="1"/>
      <c r="KX50" s="33" t="s">
        <v>766</v>
      </c>
      <c r="KY50" s="34" t="s">
        <v>767</v>
      </c>
      <c r="KZ50" s="35"/>
    </row>
    <row r="51" ht="13.5" customHeight="1">
      <c r="A51" s="1"/>
      <c r="B51" s="1"/>
      <c r="C51" s="1"/>
      <c r="D51" s="1"/>
      <c r="E51" s="3"/>
      <c r="F51" s="3"/>
      <c r="G51" s="3"/>
      <c r="H51" s="4"/>
      <c r="I51" s="4"/>
      <c r="J51" s="1"/>
      <c r="K51" s="5"/>
      <c r="L51" s="5"/>
      <c r="M51" s="5"/>
      <c r="N51" s="5"/>
      <c r="O51" s="5"/>
      <c r="P51" s="5"/>
      <c r="Q51" s="5"/>
      <c r="R51" s="1"/>
      <c r="S51" s="1"/>
      <c r="T51" s="1"/>
      <c r="U51" s="1"/>
      <c r="V51" s="6"/>
      <c r="W51" s="1"/>
      <c r="KX51" s="33" t="s">
        <v>768</v>
      </c>
      <c r="KY51" s="34" t="s">
        <v>769</v>
      </c>
      <c r="KZ51" s="35"/>
    </row>
    <row r="52" ht="13.5" customHeight="1">
      <c r="A52" s="1"/>
      <c r="B52" s="1"/>
      <c r="C52" s="1"/>
      <c r="D52" s="1"/>
      <c r="E52" s="3"/>
      <c r="F52" s="3"/>
      <c r="G52" s="3"/>
      <c r="H52" s="4"/>
      <c r="I52" s="4"/>
      <c r="J52" s="1"/>
      <c r="K52" s="5"/>
      <c r="L52" s="5"/>
      <c r="M52" s="5"/>
      <c r="N52" s="5"/>
      <c r="O52" s="5"/>
      <c r="P52" s="5"/>
      <c r="Q52" s="5"/>
      <c r="R52" s="1"/>
      <c r="S52" s="1"/>
      <c r="T52" s="1"/>
      <c r="U52" s="1"/>
      <c r="V52" s="6"/>
      <c r="W52" s="1"/>
      <c r="KX52" s="33" t="s">
        <v>770</v>
      </c>
      <c r="KY52" s="34" t="s">
        <v>771</v>
      </c>
      <c r="KZ52" s="35"/>
    </row>
    <row r="53" ht="13.5" customHeight="1">
      <c r="A53" s="1"/>
      <c r="B53" s="1"/>
      <c r="C53" s="1"/>
      <c r="D53" s="1"/>
      <c r="E53" s="3"/>
      <c r="F53" s="3"/>
      <c r="G53" s="3"/>
      <c r="H53" s="4"/>
      <c r="I53" s="4"/>
      <c r="J53" s="1"/>
      <c r="K53" s="5"/>
      <c r="L53" s="5"/>
      <c r="M53" s="5"/>
      <c r="N53" s="5"/>
      <c r="O53" s="5"/>
      <c r="P53" s="5"/>
      <c r="Q53" s="5"/>
      <c r="R53" s="1"/>
      <c r="S53" s="1"/>
      <c r="T53" s="1"/>
      <c r="U53" s="1"/>
      <c r="V53" s="6"/>
      <c r="W53" s="1"/>
      <c r="KX53" s="33" t="s">
        <v>772</v>
      </c>
      <c r="KY53" s="34" t="s">
        <v>773</v>
      </c>
      <c r="KZ53" s="35"/>
    </row>
    <row r="54" ht="13.5" customHeight="1">
      <c r="A54" s="1"/>
      <c r="B54" s="1"/>
      <c r="C54" s="1"/>
      <c r="D54" s="1"/>
      <c r="E54" s="3"/>
      <c r="F54" s="3"/>
      <c r="G54" s="3"/>
      <c r="H54" s="4"/>
      <c r="I54" s="4"/>
      <c r="J54" s="1"/>
      <c r="K54" s="5"/>
      <c r="L54" s="5"/>
      <c r="M54" s="5"/>
      <c r="N54" s="5"/>
      <c r="O54" s="5"/>
      <c r="P54" s="5"/>
      <c r="Q54" s="5"/>
      <c r="R54" s="1"/>
      <c r="S54" s="1"/>
      <c r="T54" s="1"/>
      <c r="U54" s="1"/>
      <c r="V54" s="6"/>
      <c r="W54" s="1"/>
      <c r="KX54" s="33" t="s">
        <v>774</v>
      </c>
      <c r="KY54" s="34" t="s">
        <v>775</v>
      </c>
      <c r="KZ54" s="35"/>
    </row>
    <row r="55" ht="13.5" customHeight="1">
      <c r="A55" s="1"/>
      <c r="B55" s="1"/>
      <c r="C55" s="1"/>
      <c r="D55" s="1"/>
      <c r="E55" s="3"/>
      <c r="F55" s="3"/>
      <c r="G55" s="3"/>
      <c r="H55" s="4"/>
      <c r="I55" s="4"/>
      <c r="J55" s="1"/>
      <c r="K55" s="5"/>
      <c r="L55" s="5"/>
      <c r="M55" s="5"/>
      <c r="N55" s="5"/>
      <c r="O55" s="5"/>
      <c r="P55" s="5"/>
      <c r="Q55" s="5"/>
      <c r="R55" s="1"/>
      <c r="S55" s="1"/>
      <c r="T55" s="1"/>
      <c r="U55" s="1"/>
      <c r="V55" s="6"/>
      <c r="W55" s="1"/>
      <c r="KX55" s="33" t="s">
        <v>776</v>
      </c>
      <c r="KY55" s="34" t="s">
        <v>777</v>
      </c>
      <c r="KZ55" s="35"/>
    </row>
    <row r="56" ht="13.5" customHeight="1">
      <c r="A56" s="1"/>
      <c r="B56" s="1"/>
      <c r="C56" s="1"/>
      <c r="D56" s="1"/>
      <c r="E56" s="3"/>
      <c r="F56" s="3"/>
      <c r="G56" s="3"/>
      <c r="H56" s="4"/>
      <c r="I56" s="4"/>
      <c r="J56" s="1"/>
      <c r="K56" s="5"/>
      <c r="L56" s="5"/>
      <c r="M56" s="5"/>
      <c r="N56" s="5"/>
      <c r="O56" s="5"/>
      <c r="P56" s="5"/>
      <c r="Q56" s="5"/>
      <c r="R56" s="1"/>
      <c r="S56" s="1"/>
      <c r="T56" s="1"/>
      <c r="U56" s="1"/>
      <c r="V56" s="6"/>
      <c r="W56" s="1"/>
      <c r="KX56" s="33" t="s">
        <v>778</v>
      </c>
      <c r="KY56" s="34" t="s">
        <v>779</v>
      </c>
      <c r="KZ56" s="35"/>
    </row>
    <row r="57" ht="13.5" customHeight="1">
      <c r="A57" s="1"/>
      <c r="B57" s="1"/>
      <c r="C57" s="1"/>
      <c r="D57" s="1"/>
      <c r="E57" s="3"/>
      <c r="F57" s="3"/>
      <c r="G57" s="3"/>
      <c r="H57" s="4"/>
      <c r="I57" s="4"/>
      <c r="J57" s="1"/>
      <c r="K57" s="5"/>
      <c r="L57" s="5"/>
      <c r="M57" s="5"/>
      <c r="N57" s="5"/>
      <c r="O57" s="5"/>
      <c r="P57" s="5"/>
      <c r="Q57" s="5"/>
      <c r="R57" s="1"/>
      <c r="S57" s="1"/>
      <c r="T57" s="1"/>
      <c r="U57" s="1"/>
      <c r="V57" s="6"/>
      <c r="W57" s="1"/>
      <c r="KX57" s="33" t="s">
        <v>780</v>
      </c>
      <c r="KY57" s="34" t="s">
        <v>781</v>
      </c>
      <c r="KZ57" s="35"/>
    </row>
    <row r="58" ht="13.5" customHeight="1">
      <c r="A58" s="1"/>
      <c r="B58" s="1"/>
      <c r="C58" s="1"/>
      <c r="D58" s="1"/>
      <c r="E58" s="3"/>
      <c r="F58" s="3"/>
      <c r="G58" s="3"/>
      <c r="H58" s="4"/>
      <c r="I58" s="4"/>
      <c r="J58" s="1"/>
      <c r="K58" s="5"/>
      <c r="L58" s="5"/>
      <c r="M58" s="5"/>
      <c r="N58" s="5"/>
      <c r="O58" s="5"/>
      <c r="P58" s="5"/>
      <c r="Q58" s="5"/>
      <c r="R58" s="1"/>
      <c r="S58" s="1"/>
      <c r="T58" s="1"/>
      <c r="U58" s="1"/>
      <c r="V58" s="6"/>
      <c r="W58" s="1"/>
      <c r="KX58" s="33" t="s">
        <v>782</v>
      </c>
      <c r="KY58" s="34" t="s">
        <v>783</v>
      </c>
      <c r="KZ58" s="35"/>
    </row>
    <row r="59" ht="13.5" customHeight="1">
      <c r="A59" s="1"/>
      <c r="B59" s="1"/>
      <c r="C59" s="1"/>
      <c r="D59" s="1"/>
      <c r="E59" s="3"/>
      <c r="F59" s="3"/>
      <c r="G59" s="3"/>
      <c r="H59" s="4"/>
      <c r="I59" s="4"/>
      <c r="J59" s="1"/>
      <c r="K59" s="5"/>
      <c r="L59" s="5"/>
      <c r="M59" s="5"/>
      <c r="N59" s="5"/>
      <c r="O59" s="5"/>
      <c r="P59" s="5"/>
      <c r="Q59" s="5"/>
      <c r="R59" s="1"/>
      <c r="S59" s="1"/>
      <c r="T59" s="1"/>
      <c r="U59" s="1"/>
      <c r="V59" s="6"/>
      <c r="W59" s="1"/>
      <c r="KX59" s="33" t="s">
        <v>784</v>
      </c>
      <c r="KY59" s="34" t="s">
        <v>785</v>
      </c>
      <c r="KZ59" s="35"/>
    </row>
    <row r="60" ht="13.5" customHeight="1">
      <c r="A60" s="1"/>
      <c r="B60" s="1"/>
      <c r="C60" s="1"/>
      <c r="D60" s="1"/>
      <c r="E60" s="3"/>
      <c r="F60" s="3"/>
      <c r="G60" s="3"/>
      <c r="H60" s="4"/>
      <c r="I60" s="4"/>
      <c r="J60" s="1"/>
      <c r="K60" s="5"/>
      <c r="L60" s="5"/>
      <c r="M60" s="5"/>
      <c r="N60" s="5"/>
      <c r="O60" s="5"/>
      <c r="P60" s="5"/>
      <c r="Q60" s="5"/>
      <c r="R60" s="1"/>
      <c r="S60" s="1"/>
      <c r="T60" s="1"/>
      <c r="U60" s="1"/>
      <c r="V60" s="6"/>
      <c r="W60" s="1"/>
      <c r="KX60" s="33" t="s">
        <v>786</v>
      </c>
      <c r="KY60" s="34" t="s">
        <v>787</v>
      </c>
      <c r="KZ60" s="35"/>
    </row>
    <row r="61" ht="13.5" customHeight="1">
      <c r="A61" s="1"/>
      <c r="B61" s="1"/>
      <c r="C61" s="1"/>
      <c r="D61" s="1"/>
      <c r="E61" s="3"/>
      <c r="F61" s="3"/>
      <c r="G61" s="3"/>
      <c r="H61" s="4"/>
      <c r="I61" s="4"/>
      <c r="J61" s="1"/>
      <c r="K61" s="5"/>
      <c r="L61" s="5"/>
      <c r="M61" s="5"/>
      <c r="N61" s="5"/>
      <c r="O61" s="5"/>
      <c r="P61" s="5"/>
      <c r="Q61" s="5"/>
      <c r="R61" s="1"/>
      <c r="S61" s="1"/>
      <c r="T61" s="1"/>
      <c r="U61" s="1"/>
      <c r="V61" s="6"/>
      <c r="W61" s="1"/>
      <c r="KX61" s="33" t="s">
        <v>788</v>
      </c>
      <c r="KY61" s="48" t="s">
        <v>789</v>
      </c>
      <c r="KZ61" s="35"/>
    </row>
    <row r="62" ht="13.5" customHeight="1">
      <c r="A62" s="1"/>
      <c r="B62" s="1"/>
      <c r="C62" s="1"/>
      <c r="D62" s="1"/>
      <c r="E62" s="3"/>
      <c r="F62" s="3"/>
      <c r="G62" s="3"/>
      <c r="H62" s="4"/>
      <c r="I62" s="4"/>
      <c r="J62" s="1"/>
      <c r="K62" s="5"/>
      <c r="L62" s="5"/>
      <c r="M62" s="5"/>
      <c r="N62" s="5"/>
      <c r="O62" s="5"/>
      <c r="P62" s="5"/>
      <c r="Q62" s="5"/>
      <c r="R62" s="1"/>
      <c r="S62" s="1"/>
      <c r="T62" s="1"/>
      <c r="U62" s="1"/>
      <c r="V62" s="6"/>
      <c r="W62" s="1"/>
      <c r="KX62" s="33" t="s">
        <v>790</v>
      </c>
      <c r="KY62" s="34" t="s">
        <v>791</v>
      </c>
      <c r="KZ62" s="35"/>
    </row>
    <row r="63" ht="13.5" customHeight="1">
      <c r="A63" s="1"/>
      <c r="B63" s="1"/>
      <c r="C63" s="1"/>
      <c r="D63" s="1"/>
      <c r="E63" s="3"/>
      <c r="F63" s="3"/>
      <c r="G63" s="3"/>
      <c r="H63" s="4"/>
      <c r="I63" s="4"/>
      <c r="J63" s="1"/>
      <c r="K63" s="5"/>
      <c r="L63" s="5"/>
      <c r="M63" s="5"/>
      <c r="N63" s="5"/>
      <c r="O63" s="5"/>
      <c r="P63" s="5"/>
      <c r="Q63" s="5"/>
      <c r="R63" s="1"/>
      <c r="S63" s="1"/>
      <c r="T63" s="1"/>
      <c r="U63" s="1"/>
      <c r="V63" s="6"/>
      <c r="W63" s="1"/>
      <c r="KX63" s="33" t="s">
        <v>792</v>
      </c>
      <c r="KY63" s="34" t="s">
        <v>793</v>
      </c>
      <c r="KZ63" s="35"/>
    </row>
    <row r="64" ht="13.5" customHeight="1">
      <c r="A64" s="1"/>
      <c r="B64" s="1"/>
      <c r="C64" s="1"/>
      <c r="D64" s="1"/>
      <c r="E64" s="3"/>
      <c r="F64" s="3"/>
      <c r="G64" s="3"/>
      <c r="H64" s="4"/>
      <c r="I64" s="4"/>
      <c r="J64" s="1"/>
      <c r="K64" s="5"/>
      <c r="L64" s="5"/>
      <c r="M64" s="5"/>
      <c r="N64" s="5"/>
      <c r="O64" s="5"/>
      <c r="P64" s="5"/>
      <c r="Q64" s="5"/>
      <c r="R64" s="1"/>
      <c r="S64" s="1"/>
      <c r="T64" s="1"/>
      <c r="U64" s="1"/>
      <c r="V64" s="28"/>
      <c r="W64" s="1"/>
      <c r="KX64" s="33" t="s">
        <v>794</v>
      </c>
      <c r="KY64" s="34" t="s">
        <v>795</v>
      </c>
      <c r="KZ64" s="35"/>
    </row>
    <row r="65" ht="13.5" customHeight="1">
      <c r="A65" s="1"/>
      <c r="B65" s="1"/>
      <c r="C65" s="1"/>
      <c r="D65" s="1"/>
      <c r="E65" s="3"/>
      <c r="F65" s="3"/>
      <c r="G65" s="3"/>
      <c r="H65" s="4"/>
      <c r="I65" s="4"/>
      <c r="J65" s="1"/>
      <c r="K65" s="5"/>
      <c r="L65" s="5"/>
      <c r="M65" s="5"/>
      <c r="N65" s="5"/>
      <c r="O65" s="5"/>
      <c r="P65" s="5"/>
      <c r="Q65" s="5"/>
      <c r="R65" s="1"/>
      <c r="S65" s="1"/>
      <c r="T65" s="1"/>
      <c r="U65" s="1"/>
      <c r="V65" s="6"/>
      <c r="W65" s="1"/>
      <c r="KX65" s="33" t="s">
        <v>796</v>
      </c>
      <c r="KY65" s="34" t="s">
        <v>797</v>
      </c>
      <c r="KZ65" s="35"/>
    </row>
    <row r="66" ht="13.5" customHeight="1">
      <c r="A66" s="1"/>
      <c r="B66" s="1"/>
      <c r="C66" s="1"/>
      <c r="D66" s="1"/>
      <c r="E66" s="3"/>
      <c r="F66" s="3"/>
      <c r="G66" s="3"/>
      <c r="H66" s="4"/>
      <c r="I66" s="4"/>
      <c r="J66" s="1"/>
      <c r="K66" s="5"/>
      <c r="L66" s="5"/>
      <c r="M66" s="5"/>
      <c r="N66" s="5"/>
      <c r="O66" s="5"/>
      <c r="P66" s="5"/>
      <c r="Q66" s="5"/>
      <c r="R66" s="1"/>
      <c r="S66" s="1"/>
      <c r="T66" s="1"/>
      <c r="U66" s="1"/>
      <c r="V66" s="6"/>
      <c r="W66" s="1"/>
      <c r="KX66" s="33" t="s">
        <v>798</v>
      </c>
      <c r="KY66" s="34" t="s">
        <v>799</v>
      </c>
      <c r="KZ66" s="35"/>
    </row>
    <row r="67" ht="13.5" customHeight="1">
      <c r="A67" s="1"/>
      <c r="B67" s="1"/>
      <c r="C67" s="1"/>
      <c r="D67" s="1"/>
      <c r="E67" s="3"/>
      <c r="F67" s="3"/>
      <c r="G67" s="3"/>
      <c r="H67" s="4"/>
      <c r="I67" s="4"/>
      <c r="J67" s="1"/>
      <c r="K67" s="5"/>
      <c r="L67" s="5"/>
      <c r="M67" s="5"/>
      <c r="N67" s="5"/>
      <c r="O67" s="5"/>
      <c r="P67" s="5"/>
      <c r="Q67" s="5"/>
      <c r="R67" s="1"/>
      <c r="S67" s="1"/>
      <c r="T67" s="1"/>
      <c r="U67" s="1"/>
      <c r="V67" s="6"/>
      <c r="W67" s="1"/>
      <c r="KX67" s="33" t="s">
        <v>800</v>
      </c>
      <c r="KY67" s="34" t="s">
        <v>801</v>
      </c>
      <c r="KZ67" s="35"/>
    </row>
    <row r="68" ht="13.5" customHeight="1">
      <c r="A68" s="1"/>
      <c r="B68" s="1"/>
      <c r="C68" s="1"/>
      <c r="D68" s="1"/>
      <c r="E68" s="3"/>
      <c r="F68" s="3"/>
      <c r="G68" s="3"/>
      <c r="H68" s="4"/>
      <c r="I68" s="4"/>
      <c r="J68" s="1"/>
      <c r="K68" s="5"/>
      <c r="L68" s="5"/>
      <c r="M68" s="5"/>
      <c r="N68" s="5"/>
      <c r="O68" s="5"/>
      <c r="P68" s="5"/>
      <c r="Q68" s="5"/>
      <c r="R68" s="1"/>
      <c r="S68" s="1"/>
      <c r="T68" s="1"/>
      <c r="U68" s="1"/>
      <c r="V68" s="6"/>
      <c r="W68" s="1"/>
      <c r="KX68" s="33" t="s">
        <v>802</v>
      </c>
      <c r="KY68" s="34" t="s">
        <v>803</v>
      </c>
      <c r="KZ68" s="35"/>
    </row>
    <row r="69" ht="13.5" customHeight="1">
      <c r="A69" s="1"/>
      <c r="B69" s="1"/>
      <c r="C69" s="1"/>
      <c r="D69" s="1"/>
      <c r="E69" s="3"/>
      <c r="F69" s="3"/>
      <c r="G69" s="3"/>
      <c r="H69" s="4"/>
      <c r="I69" s="4"/>
      <c r="J69" s="1"/>
      <c r="K69" s="5"/>
      <c r="L69" s="5"/>
      <c r="M69" s="5"/>
      <c r="N69" s="5"/>
      <c r="O69" s="5"/>
      <c r="P69" s="5"/>
      <c r="Q69" s="5"/>
      <c r="R69" s="1"/>
      <c r="S69" s="1"/>
      <c r="T69" s="1"/>
      <c r="U69" s="1"/>
      <c r="V69" s="6"/>
      <c r="W69" s="1"/>
      <c r="KX69" s="33" t="s">
        <v>804</v>
      </c>
      <c r="KY69" s="34" t="s">
        <v>805</v>
      </c>
      <c r="KZ69" s="35"/>
    </row>
    <row r="70" ht="13.5" customHeight="1">
      <c r="A70" s="1"/>
      <c r="B70" s="1"/>
      <c r="C70" s="1"/>
      <c r="D70" s="1"/>
      <c r="E70" s="3"/>
      <c r="F70" s="3"/>
      <c r="G70" s="3"/>
      <c r="H70" s="4"/>
      <c r="I70" s="4"/>
      <c r="J70" s="1"/>
      <c r="K70" s="5"/>
      <c r="L70" s="5"/>
      <c r="M70" s="5"/>
      <c r="N70" s="5"/>
      <c r="O70" s="5"/>
      <c r="P70" s="5"/>
      <c r="Q70" s="5"/>
      <c r="R70" s="1"/>
      <c r="S70" s="1"/>
      <c r="T70" s="1"/>
      <c r="U70" s="1"/>
      <c r="V70" s="6"/>
      <c r="W70" s="1"/>
      <c r="KX70" s="33" t="s">
        <v>806</v>
      </c>
      <c r="KY70" s="34" t="s">
        <v>807</v>
      </c>
      <c r="KZ70" s="35"/>
    </row>
    <row r="71" ht="13.5" customHeight="1">
      <c r="A71" s="1"/>
      <c r="B71" s="1"/>
      <c r="C71" s="1"/>
      <c r="D71" s="1"/>
      <c r="E71" s="3"/>
      <c r="F71" s="3"/>
      <c r="G71" s="3"/>
      <c r="H71" s="4"/>
      <c r="I71" s="4"/>
      <c r="J71" s="1"/>
      <c r="K71" s="5"/>
      <c r="L71" s="5"/>
      <c r="M71" s="5"/>
      <c r="N71" s="5"/>
      <c r="O71" s="5"/>
      <c r="P71" s="5"/>
      <c r="Q71" s="5"/>
      <c r="R71" s="1"/>
      <c r="S71" s="1"/>
      <c r="T71" s="1"/>
      <c r="U71" s="1"/>
      <c r="V71" s="6"/>
      <c r="W71" s="1"/>
      <c r="KX71" s="33" t="s">
        <v>808</v>
      </c>
      <c r="KY71" s="48" t="s">
        <v>809</v>
      </c>
      <c r="KZ71" s="35"/>
    </row>
    <row r="72" ht="13.5" customHeight="1">
      <c r="A72" s="1"/>
      <c r="B72" s="1"/>
      <c r="C72" s="1"/>
      <c r="D72" s="1"/>
      <c r="E72" s="3"/>
      <c r="F72" s="3"/>
      <c r="G72" s="3"/>
      <c r="H72" s="4"/>
      <c r="I72" s="4"/>
      <c r="J72" s="1"/>
      <c r="K72" s="5"/>
      <c r="L72" s="5"/>
      <c r="M72" s="5"/>
      <c r="N72" s="5"/>
      <c r="O72" s="5"/>
      <c r="P72" s="5"/>
      <c r="Q72" s="5"/>
      <c r="R72" s="1"/>
      <c r="S72" s="1"/>
      <c r="T72" s="1"/>
      <c r="U72" s="1"/>
      <c r="V72" s="6"/>
      <c r="W72" s="1"/>
      <c r="KX72" s="33" t="s">
        <v>810</v>
      </c>
      <c r="KY72" s="34" t="s">
        <v>811</v>
      </c>
      <c r="KZ72" s="35"/>
    </row>
    <row r="73" ht="13.5" customHeight="1">
      <c r="A73" s="1"/>
      <c r="B73" s="1"/>
      <c r="C73" s="1"/>
      <c r="D73" s="1"/>
      <c r="E73" s="3"/>
      <c r="F73" s="3"/>
      <c r="G73" s="3"/>
      <c r="H73" s="4"/>
      <c r="I73" s="4"/>
      <c r="J73" s="1"/>
      <c r="K73" s="5"/>
      <c r="L73" s="5"/>
      <c r="M73" s="5"/>
      <c r="N73" s="5"/>
      <c r="O73" s="5"/>
      <c r="P73" s="5"/>
      <c r="Q73" s="5"/>
      <c r="R73" s="1"/>
      <c r="S73" s="1"/>
      <c r="T73" s="1"/>
      <c r="U73" s="1"/>
      <c r="V73" s="5"/>
      <c r="W73" s="1"/>
      <c r="KX73" s="33" t="s">
        <v>812</v>
      </c>
      <c r="KY73" s="34" t="s">
        <v>813</v>
      </c>
      <c r="KZ73" s="35"/>
    </row>
    <row r="74" ht="13.5" customHeight="1">
      <c r="A74" s="1"/>
      <c r="B74" s="1"/>
      <c r="C74" s="1"/>
      <c r="D74" s="1"/>
      <c r="E74" s="3"/>
      <c r="F74" s="3"/>
      <c r="G74" s="3"/>
      <c r="H74" s="4"/>
      <c r="I74" s="4"/>
      <c r="J74" s="1"/>
      <c r="K74" s="5"/>
      <c r="L74" s="5"/>
      <c r="M74" s="5"/>
      <c r="N74" s="5"/>
      <c r="O74" s="5"/>
      <c r="P74" s="5"/>
      <c r="Q74" s="5"/>
      <c r="R74" s="1"/>
      <c r="S74" s="1"/>
      <c r="T74" s="1"/>
      <c r="U74" s="1"/>
      <c r="V74" s="5"/>
      <c r="W74" s="1"/>
      <c r="KX74" s="49" t="s">
        <v>814</v>
      </c>
      <c r="KY74" s="34" t="s">
        <v>815</v>
      </c>
      <c r="KZ74" s="35"/>
    </row>
    <row r="75" ht="13.5" customHeight="1">
      <c r="A75" s="1"/>
      <c r="B75" s="1"/>
      <c r="C75" s="1"/>
      <c r="D75" s="1"/>
      <c r="E75" s="3"/>
      <c r="F75" s="3"/>
      <c r="G75" s="3"/>
      <c r="H75" s="4"/>
      <c r="I75" s="4"/>
      <c r="J75" s="1"/>
      <c r="K75" s="5"/>
      <c r="L75" s="5"/>
      <c r="M75" s="5"/>
      <c r="N75" s="5"/>
      <c r="O75" s="5"/>
      <c r="P75" s="5"/>
      <c r="Q75" s="5"/>
      <c r="R75" s="1"/>
      <c r="S75" s="1"/>
      <c r="T75" s="1"/>
      <c r="U75" s="1"/>
      <c r="V75" s="5"/>
      <c r="W75" s="1"/>
      <c r="KX75" s="46" t="s">
        <v>816</v>
      </c>
      <c r="KY75" s="47" t="s">
        <v>817</v>
      </c>
      <c r="KZ75" s="35"/>
    </row>
    <row r="76" ht="13.5" customHeight="1">
      <c r="A76" s="1"/>
      <c r="B76" s="1"/>
      <c r="C76" s="1"/>
      <c r="D76" s="1"/>
      <c r="E76" s="3"/>
      <c r="F76" s="3"/>
      <c r="G76" s="3"/>
      <c r="H76" s="4"/>
      <c r="I76" s="4"/>
      <c r="J76" s="1"/>
      <c r="K76" s="5"/>
      <c r="L76" s="5"/>
      <c r="M76" s="5"/>
      <c r="N76" s="5"/>
      <c r="O76" s="5"/>
      <c r="P76" s="5"/>
      <c r="Q76" s="5"/>
      <c r="R76" s="1"/>
      <c r="S76" s="1"/>
      <c r="T76" s="1"/>
      <c r="U76" s="1"/>
      <c r="V76" s="5"/>
      <c r="W76" s="1"/>
      <c r="KX76" s="33" t="s">
        <v>818</v>
      </c>
      <c r="KY76" s="34" t="s">
        <v>819</v>
      </c>
      <c r="KZ76" s="35"/>
    </row>
    <row r="77" ht="13.5" customHeight="1">
      <c r="A77" s="1"/>
      <c r="B77" s="1"/>
      <c r="C77" s="1"/>
      <c r="D77" s="1"/>
      <c r="E77" s="3"/>
      <c r="F77" s="3"/>
      <c r="G77" s="3"/>
      <c r="H77" s="4"/>
      <c r="I77" s="4"/>
      <c r="J77" s="1"/>
      <c r="K77" s="5"/>
      <c r="L77" s="5"/>
      <c r="M77" s="5"/>
      <c r="N77" s="5"/>
      <c r="O77" s="5"/>
      <c r="P77" s="5"/>
      <c r="Q77" s="5"/>
      <c r="R77" s="1"/>
      <c r="S77" s="1"/>
      <c r="T77" s="1"/>
      <c r="U77" s="1"/>
      <c r="V77" s="5"/>
      <c r="W77" s="1"/>
      <c r="KX77" s="33" t="s">
        <v>820</v>
      </c>
      <c r="KY77" s="34" t="s">
        <v>821</v>
      </c>
      <c r="KZ77" s="35"/>
    </row>
    <row r="78" ht="13.5" customHeight="1">
      <c r="A78" s="1"/>
      <c r="B78" s="1"/>
      <c r="C78" s="1"/>
      <c r="D78" s="1"/>
      <c r="E78" s="3"/>
      <c r="F78" s="3"/>
      <c r="G78" s="3"/>
      <c r="H78" s="4"/>
      <c r="I78" s="4"/>
      <c r="J78" s="1"/>
      <c r="K78" s="5"/>
      <c r="L78" s="5"/>
      <c r="M78" s="5"/>
      <c r="N78" s="5"/>
      <c r="O78" s="5"/>
      <c r="P78" s="5"/>
      <c r="Q78" s="5"/>
      <c r="R78" s="1"/>
      <c r="S78" s="1"/>
      <c r="T78" s="1"/>
      <c r="U78" s="1"/>
      <c r="V78" s="5"/>
      <c r="W78" s="1"/>
      <c r="KX78" s="33" t="s">
        <v>822</v>
      </c>
      <c r="KY78" s="34" t="s">
        <v>823</v>
      </c>
      <c r="KZ78" s="35"/>
    </row>
    <row r="79" ht="13.5" customHeight="1">
      <c r="A79" s="1"/>
      <c r="B79" s="1"/>
      <c r="C79" s="1"/>
      <c r="D79" s="1"/>
      <c r="E79" s="3"/>
      <c r="F79" s="3"/>
      <c r="G79" s="3"/>
      <c r="H79" s="4"/>
      <c r="I79" s="4"/>
      <c r="J79" s="1"/>
      <c r="K79" s="5"/>
      <c r="L79" s="5"/>
      <c r="M79" s="5"/>
      <c r="N79" s="5"/>
      <c r="O79" s="5"/>
      <c r="P79" s="5"/>
      <c r="Q79" s="5"/>
      <c r="R79" s="1"/>
      <c r="S79" s="1"/>
      <c r="T79" s="1"/>
      <c r="U79" s="1"/>
      <c r="V79" s="5"/>
      <c r="W79" s="1"/>
      <c r="KX79" s="49" t="s">
        <v>824</v>
      </c>
      <c r="KY79" s="34" t="s">
        <v>825</v>
      </c>
      <c r="KZ79" s="35"/>
    </row>
    <row r="80" ht="13.5" customHeight="1">
      <c r="A80" s="1"/>
      <c r="B80" s="1"/>
      <c r="C80" s="1"/>
      <c r="D80" s="1"/>
      <c r="E80" s="3"/>
      <c r="F80" s="3"/>
      <c r="G80" s="3"/>
      <c r="H80" s="4"/>
      <c r="I80" s="4"/>
      <c r="J80" s="1"/>
      <c r="K80" s="5"/>
      <c r="L80" s="5"/>
      <c r="M80" s="5"/>
      <c r="N80" s="5"/>
      <c r="O80" s="5"/>
      <c r="P80" s="5"/>
      <c r="Q80" s="5"/>
      <c r="R80" s="1"/>
      <c r="S80" s="1"/>
      <c r="T80" s="1"/>
      <c r="U80" s="1"/>
      <c r="V80" s="5"/>
      <c r="W80" s="1"/>
      <c r="KX80" s="49" t="s">
        <v>826</v>
      </c>
      <c r="KY80" s="34" t="s">
        <v>827</v>
      </c>
      <c r="KZ80" s="35"/>
    </row>
    <row r="81" ht="13.5" customHeight="1">
      <c r="A81" s="1"/>
      <c r="B81" s="1"/>
      <c r="C81" s="1"/>
      <c r="D81" s="1"/>
      <c r="E81" s="3"/>
      <c r="F81" s="3"/>
      <c r="G81" s="3"/>
      <c r="H81" s="4"/>
      <c r="I81" s="4"/>
      <c r="J81" s="1"/>
      <c r="K81" s="5"/>
      <c r="L81" s="5"/>
      <c r="M81" s="5"/>
      <c r="N81" s="5"/>
      <c r="O81" s="5"/>
      <c r="P81" s="5"/>
      <c r="Q81" s="5"/>
      <c r="R81" s="1"/>
      <c r="S81" s="1"/>
      <c r="T81" s="1"/>
      <c r="U81" s="1"/>
      <c r="V81" s="5"/>
      <c r="W81" s="1"/>
      <c r="KX81" s="33" t="s">
        <v>828</v>
      </c>
      <c r="KY81" s="34" t="s">
        <v>829</v>
      </c>
      <c r="KZ81" s="35"/>
    </row>
    <row r="82" ht="13.5" customHeight="1">
      <c r="A82" s="1"/>
      <c r="B82" s="1"/>
      <c r="C82" s="1"/>
      <c r="D82" s="1"/>
      <c r="E82" s="3"/>
      <c r="F82" s="3"/>
      <c r="G82" s="3"/>
      <c r="H82" s="4"/>
      <c r="I82" s="4"/>
      <c r="J82" s="1"/>
      <c r="K82" s="5"/>
      <c r="L82" s="5"/>
      <c r="M82" s="5"/>
      <c r="N82" s="5"/>
      <c r="O82" s="5"/>
      <c r="P82" s="5"/>
      <c r="Q82" s="5"/>
      <c r="R82" s="1"/>
      <c r="S82" s="1"/>
      <c r="T82" s="1"/>
      <c r="U82" s="1"/>
      <c r="V82" s="5"/>
      <c r="W82" s="1"/>
      <c r="KX82" s="33" t="s">
        <v>830</v>
      </c>
      <c r="KY82" s="34" t="s">
        <v>831</v>
      </c>
      <c r="KZ82" s="35"/>
    </row>
    <row r="83" ht="13.5" customHeight="1">
      <c r="A83" s="1"/>
      <c r="B83" s="1"/>
      <c r="C83" s="1"/>
      <c r="D83" s="1"/>
      <c r="E83" s="3"/>
      <c r="F83" s="3"/>
      <c r="G83" s="3"/>
      <c r="H83" s="4"/>
      <c r="I83" s="4"/>
      <c r="J83" s="1"/>
      <c r="K83" s="5"/>
      <c r="L83" s="5"/>
      <c r="M83" s="5"/>
      <c r="N83" s="5"/>
      <c r="O83" s="5"/>
      <c r="P83" s="5"/>
      <c r="Q83" s="5"/>
      <c r="R83" s="1"/>
      <c r="S83" s="1"/>
      <c r="T83" s="1"/>
      <c r="U83" s="1"/>
      <c r="V83" s="5"/>
      <c r="W83" s="1"/>
      <c r="KX83" s="33" t="s">
        <v>832</v>
      </c>
      <c r="KY83" s="34" t="s">
        <v>833</v>
      </c>
      <c r="KZ83" s="35"/>
    </row>
    <row r="84" ht="15.75" customHeight="1">
      <c r="V84" s="5"/>
      <c r="W84" s="1"/>
      <c r="KX84" s="33" t="s">
        <v>834</v>
      </c>
      <c r="KY84" s="34" t="s">
        <v>835</v>
      </c>
      <c r="KZ84" s="35"/>
    </row>
    <row r="85" ht="15.75" customHeight="1">
      <c r="V85" s="5"/>
      <c r="W85" s="1"/>
      <c r="KX85" s="33" t="s">
        <v>836</v>
      </c>
      <c r="KY85" s="34" t="s">
        <v>837</v>
      </c>
      <c r="KZ85" s="35"/>
    </row>
    <row r="86" ht="15.75" customHeight="1">
      <c r="V86" s="5"/>
      <c r="W86" s="1"/>
      <c r="KX86" s="33" t="s">
        <v>838</v>
      </c>
      <c r="KY86" s="34" t="s">
        <v>839</v>
      </c>
      <c r="KZ86" s="35"/>
    </row>
    <row r="87" ht="15.75" customHeight="1">
      <c r="V87" s="1"/>
      <c r="W87" s="1"/>
      <c r="KX87" s="33" t="s">
        <v>840</v>
      </c>
      <c r="KY87" s="34" t="s">
        <v>841</v>
      </c>
      <c r="KZ87" s="35"/>
    </row>
    <row r="88" ht="15.75" customHeight="1">
      <c r="V88" s="1"/>
      <c r="W88" s="1"/>
      <c r="KX88" s="33" t="s">
        <v>842</v>
      </c>
      <c r="KY88" s="34" t="s">
        <v>843</v>
      </c>
      <c r="KZ88" s="35"/>
    </row>
    <row r="89" ht="15.75" customHeight="1">
      <c r="V89" s="1"/>
      <c r="W89" s="1"/>
      <c r="KX89" s="49" t="s">
        <v>844</v>
      </c>
      <c r="KY89" s="34" t="s">
        <v>845</v>
      </c>
      <c r="KZ89" s="35"/>
    </row>
    <row r="90" ht="15.75" customHeight="1">
      <c r="V90" s="1"/>
      <c r="W90" s="1"/>
      <c r="KX90" s="33" t="s">
        <v>846</v>
      </c>
      <c r="KY90" s="34" t="s">
        <v>847</v>
      </c>
      <c r="KZ90" s="35"/>
    </row>
    <row r="91" ht="15.75" customHeight="1">
      <c r="V91" s="1"/>
      <c r="W91" s="1"/>
      <c r="KX91" s="33" t="s">
        <v>848</v>
      </c>
      <c r="KY91" s="34" t="s">
        <v>849</v>
      </c>
      <c r="KZ91" s="35"/>
    </row>
    <row r="92" ht="15.75" customHeight="1">
      <c r="V92" s="1"/>
      <c r="W92" s="1"/>
      <c r="KX92" s="33" t="s">
        <v>850</v>
      </c>
      <c r="KY92" s="34" t="s">
        <v>851</v>
      </c>
      <c r="KZ92" s="35"/>
    </row>
    <row r="93" ht="15.75" customHeight="1">
      <c r="V93" s="1"/>
      <c r="W93" s="1"/>
      <c r="KX93" s="33" t="s">
        <v>852</v>
      </c>
      <c r="KY93" s="34" t="s">
        <v>853</v>
      </c>
      <c r="KZ93" s="35"/>
    </row>
    <row r="94" ht="15.75" customHeight="1">
      <c r="V94" s="1"/>
      <c r="W94" s="1"/>
      <c r="KX94" s="33" t="s">
        <v>854</v>
      </c>
      <c r="KY94" s="34" t="s">
        <v>855</v>
      </c>
      <c r="KZ94" s="35"/>
    </row>
    <row r="95" ht="15.75" customHeight="1">
      <c r="V95" s="1"/>
      <c r="W95" s="1"/>
      <c r="KX95" s="33" t="s">
        <v>856</v>
      </c>
      <c r="KY95" s="34" t="s">
        <v>857</v>
      </c>
      <c r="KZ95" s="35"/>
    </row>
    <row r="96" ht="15.75" customHeight="1">
      <c r="V96" s="1"/>
      <c r="W96" s="1"/>
      <c r="KX96" s="33" t="s">
        <v>858</v>
      </c>
      <c r="KY96" s="34" t="s">
        <v>859</v>
      </c>
      <c r="KZ96" s="35"/>
    </row>
    <row r="97" ht="15.75" customHeight="1">
      <c r="V97" s="1"/>
      <c r="W97" s="1"/>
      <c r="KX97" s="33" t="s">
        <v>860</v>
      </c>
      <c r="KY97" s="34" t="s">
        <v>861</v>
      </c>
      <c r="KZ97" s="35"/>
    </row>
    <row r="98" ht="15.75" customHeight="1">
      <c r="V98" s="1"/>
      <c r="W98" s="1"/>
      <c r="KX98" s="33" t="s">
        <v>862</v>
      </c>
      <c r="KY98" s="34" t="s">
        <v>863</v>
      </c>
      <c r="KZ98" s="35"/>
    </row>
    <row r="99" ht="15.75" customHeight="1">
      <c r="V99" s="1"/>
      <c r="W99" s="1"/>
      <c r="KX99" s="33" t="s">
        <v>864</v>
      </c>
      <c r="KY99" s="34" t="s">
        <v>865</v>
      </c>
      <c r="KZ99" s="35"/>
    </row>
    <row r="100" ht="15.75" customHeight="1">
      <c r="V100" s="1"/>
      <c r="W100" s="1"/>
      <c r="KX100" s="33" t="s">
        <v>866</v>
      </c>
      <c r="KY100" s="50" t="s">
        <v>867</v>
      </c>
      <c r="KZ100" s="35"/>
    </row>
    <row r="101" ht="15.75" customHeight="1">
      <c r="V101" s="1"/>
      <c r="W101" s="1"/>
      <c r="KX101" s="33" t="s">
        <v>868</v>
      </c>
      <c r="KY101" s="34" t="s">
        <v>869</v>
      </c>
      <c r="KZ101" s="35"/>
    </row>
    <row r="102" ht="15.75" customHeight="1">
      <c r="V102" s="1"/>
      <c r="W102" s="1"/>
      <c r="KX102" s="33" t="s">
        <v>870</v>
      </c>
      <c r="KY102" s="34" t="s">
        <v>871</v>
      </c>
      <c r="KZ102" s="35"/>
    </row>
    <row r="103" ht="15.75" customHeight="1">
      <c r="V103" s="1"/>
      <c r="W103" s="1"/>
      <c r="KX103" s="33" t="s">
        <v>872</v>
      </c>
      <c r="KY103" s="34" t="s">
        <v>873</v>
      </c>
      <c r="KZ103" s="35"/>
    </row>
    <row r="104" ht="15.75" customHeight="1">
      <c r="V104" s="1"/>
      <c r="W104" s="1"/>
      <c r="KX104" s="33" t="s">
        <v>874</v>
      </c>
      <c r="KY104" s="34" t="s">
        <v>875</v>
      </c>
      <c r="KZ104" s="35"/>
    </row>
    <row r="105" ht="15.75" customHeight="1">
      <c r="V105" s="1"/>
      <c r="W105" s="1"/>
      <c r="KX105" s="33" t="s">
        <v>876</v>
      </c>
      <c r="KY105" s="34" t="s">
        <v>877</v>
      </c>
      <c r="KZ105" s="35"/>
    </row>
    <row r="106" ht="15.75" customHeight="1">
      <c r="V106" s="1"/>
      <c r="W106" s="1"/>
      <c r="KX106" s="46" t="s">
        <v>878</v>
      </c>
      <c r="KY106" s="47" t="s">
        <v>879</v>
      </c>
      <c r="KZ106" s="35"/>
    </row>
    <row r="107" ht="15.75" customHeight="1">
      <c r="V107" s="1"/>
      <c r="W107" s="1"/>
      <c r="KX107" s="33" t="s">
        <v>880</v>
      </c>
      <c r="KY107" s="34" t="s">
        <v>881</v>
      </c>
      <c r="KZ107" s="35"/>
    </row>
    <row r="108" ht="15.75" customHeight="1">
      <c r="V108" s="1"/>
      <c r="W108" s="1"/>
      <c r="KX108" s="33" t="s">
        <v>882</v>
      </c>
      <c r="KY108" s="34" t="s">
        <v>883</v>
      </c>
      <c r="KZ108" s="35"/>
    </row>
    <row r="109" ht="15.75" customHeight="1">
      <c r="V109" s="1"/>
      <c r="W109" s="1"/>
      <c r="KX109" s="33" t="s">
        <v>884</v>
      </c>
      <c r="KY109" s="34" t="s">
        <v>885</v>
      </c>
      <c r="KZ109" s="35"/>
    </row>
    <row r="110" ht="15.75" customHeight="1">
      <c r="V110" s="1"/>
      <c r="W110" s="1"/>
      <c r="KX110" s="33" t="s">
        <v>886</v>
      </c>
      <c r="KY110" s="34" t="s">
        <v>887</v>
      </c>
      <c r="KZ110" s="35"/>
    </row>
    <row r="111" ht="15.75" customHeight="1">
      <c r="V111" s="1"/>
      <c r="W111" s="1"/>
      <c r="KX111" s="33" t="s">
        <v>888</v>
      </c>
      <c r="KY111" s="34" t="s">
        <v>889</v>
      </c>
      <c r="KZ111" s="35"/>
    </row>
    <row r="112" ht="15.75" customHeight="1">
      <c r="V112" s="1"/>
      <c r="W112" s="1"/>
      <c r="KX112" s="33" t="s">
        <v>890</v>
      </c>
      <c r="KY112" s="34" t="s">
        <v>891</v>
      </c>
      <c r="KZ112" s="35"/>
    </row>
    <row r="113" ht="15.75" customHeight="1">
      <c r="V113" s="1"/>
      <c r="W113" s="1"/>
      <c r="KX113" s="33" t="s">
        <v>892</v>
      </c>
      <c r="KY113" s="34" t="s">
        <v>893</v>
      </c>
      <c r="KZ113" s="35"/>
    </row>
    <row r="114" ht="15.75" customHeight="1">
      <c r="V114" s="1"/>
      <c r="W114" s="1"/>
      <c r="KX114" s="33" t="s">
        <v>894</v>
      </c>
      <c r="KY114" s="34" t="s">
        <v>895</v>
      </c>
      <c r="KZ114" s="35"/>
    </row>
    <row r="115" ht="15.75" customHeight="1">
      <c r="V115" s="1"/>
      <c r="W115" s="1"/>
      <c r="KX115" s="33" t="s">
        <v>896</v>
      </c>
      <c r="KY115" s="34" t="s">
        <v>897</v>
      </c>
      <c r="KZ115" s="35"/>
    </row>
    <row r="116" ht="15.75" customHeight="1">
      <c r="V116" s="1"/>
      <c r="W116" s="1"/>
      <c r="KX116" s="33" t="s">
        <v>898</v>
      </c>
      <c r="KY116" s="34" t="s">
        <v>899</v>
      </c>
      <c r="KZ116" s="35"/>
    </row>
    <row r="117" ht="15.75" customHeight="1">
      <c r="V117" s="1"/>
      <c r="W117" s="1"/>
      <c r="KX117" s="33" t="s">
        <v>900</v>
      </c>
      <c r="KY117" s="34" t="s">
        <v>901</v>
      </c>
      <c r="KZ117" s="35"/>
    </row>
    <row r="118" ht="15.75" customHeight="1">
      <c r="V118" s="1"/>
      <c r="W118" s="1"/>
      <c r="KX118" s="33" t="s">
        <v>902</v>
      </c>
      <c r="KY118" s="34" t="s">
        <v>903</v>
      </c>
      <c r="KZ118" s="35"/>
    </row>
    <row r="119" ht="15.75" customHeight="1">
      <c r="V119" s="1"/>
      <c r="W119" s="1"/>
      <c r="KX119" s="33" t="s">
        <v>904</v>
      </c>
      <c r="KY119" s="34" t="s">
        <v>905</v>
      </c>
      <c r="KZ119" s="35"/>
    </row>
    <row r="120" ht="15.75" customHeight="1">
      <c r="V120" s="1"/>
      <c r="W120" s="1"/>
      <c r="KX120" s="33" t="s">
        <v>906</v>
      </c>
      <c r="KY120" s="34" t="s">
        <v>907</v>
      </c>
      <c r="KZ120" s="35"/>
    </row>
    <row r="121" ht="15.75" customHeight="1">
      <c r="V121" s="1"/>
      <c r="W121" s="1"/>
      <c r="KX121" s="33" t="s">
        <v>908</v>
      </c>
      <c r="KY121" s="34" t="s">
        <v>909</v>
      </c>
      <c r="KZ121" s="35"/>
    </row>
    <row r="122" ht="15.75" customHeight="1">
      <c r="V122" s="1"/>
      <c r="W122" s="1"/>
      <c r="KX122" s="33" t="s">
        <v>910</v>
      </c>
      <c r="KY122" s="34" t="s">
        <v>911</v>
      </c>
      <c r="KZ122" s="35"/>
    </row>
    <row r="123" ht="15.75" customHeight="1">
      <c r="V123" s="1"/>
      <c r="W123" s="1"/>
      <c r="KX123" s="33" t="s">
        <v>912</v>
      </c>
      <c r="KY123" s="48" t="s">
        <v>913</v>
      </c>
      <c r="KZ123" s="35"/>
    </row>
    <row r="124" ht="15.75" customHeight="1">
      <c r="V124" s="1"/>
      <c r="W124" s="1"/>
      <c r="KX124" s="33" t="s">
        <v>914</v>
      </c>
      <c r="KY124" s="34" t="s">
        <v>915</v>
      </c>
      <c r="KZ124" s="35"/>
    </row>
    <row r="125" ht="15.75" customHeight="1">
      <c r="V125" s="1"/>
      <c r="W125" s="1"/>
      <c r="KX125" s="33" t="s">
        <v>916</v>
      </c>
      <c r="KY125" s="34" t="s">
        <v>917</v>
      </c>
      <c r="KZ125" s="35"/>
    </row>
    <row r="126" ht="15.75" customHeight="1">
      <c r="V126" s="1"/>
      <c r="W126" s="1"/>
      <c r="KX126" s="33" t="s">
        <v>918</v>
      </c>
      <c r="KY126" s="34" t="s">
        <v>919</v>
      </c>
      <c r="KZ126" s="35"/>
    </row>
    <row r="127" ht="15.75" customHeight="1">
      <c r="V127" s="1"/>
      <c r="W127" s="1"/>
      <c r="KX127" s="33" t="s">
        <v>920</v>
      </c>
      <c r="KY127" s="34" t="s">
        <v>921</v>
      </c>
      <c r="KZ127" s="35"/>
    </row>
    <row r="128" ht="15.75" customHeight="1">
      <c r="V128" s="1"/>
      <c r="W128" s="1"/>
      <c r="KX128" s="33" t="s">
        <v>922</v>
      </c>
      <c r="KY128" s="34" t="s">
        <v>923</v>
      </c>
      <c r="KZ128" s="35"/>
    </row>
    <row r="129" ht="15.75" customHeight="1">
      <c r="V129" s="1"/>
      <c r="W129" s="1"/>
      <c r="KX129" s="33" t="s">
        <v>924</v>
      </c>
      <c r="KY129" s="34" t="s">
        <v>925</v>
      </c>
      <c r="KZ129" s="35"/>
    </row>
    <row r="130" ht="15.75" customHeight="1">
      <c r="V130" s="1"/>
      <c r="W130" s="1"/>
      <c r="KX130" s="33" t="s">
        <v>926</v>
      </c>
      <c r="KY130" s="48" t="s">
        <v>927</v>
      </c>
      <c r="KZ130" s="35"/>
    </row>
    <row r="131" ht="15.75" customHeight="1">
      <c r="V131" s="1"/>
      <c r="W131" s="1"/>
      <c r="KX131" s="33" t="s">
        <v>928</v>
      </c>
      <c r="KY131" s="34" t="s">
        <v>929</v>
      </c>
      <c r="KZ131" s="35"/>
    </row>
    <row r="132" ht="15.75" customHeight="1">
      <c r="V132" s="1"/>
      <c r="W132" s="1"/>
      <c r="KX132" s="33" t="s">
        <v>930</v>
      </c>
      <c r="KY132" s="34" t="s">
        <v>931</v>
      </c>
      <c r="KZ132" s="35"/>
    </row>
    <row r="133" ht="15.75" customHeight="1">
      <c r="V133" s="1"/>
      <c r="W133" s="1"/>
      <c r="KX133" s="33" t="s">
        <v>932</v>
      </c>
      <c r="KY133" s="34" t="s">
        <v>933</v>
      </c>
      <c r="KZ133" s="35"/>
    </row>
    <row r="134" ht="15.75" customHeight="1">
      <c r="V134" s="1"/>
      <c r="W134" s="1"/>
      <c r="KX134" s="49" t="s">
        <v>934</v>
      </c>
      <c r="KY134" s="34" t="s">
        <v>935</v>
      </c>
      <c r="KZ134" s="35"/>
    </row>
    <row r="135" ht="15.75" customHeight="1">
      <c r="V135" s="1"/>
      <c r="W135" s="1"/>
      <c r="KX135" s="33" t="s">
        <v>936</v>
      </c>
      <c r="KY135" s="34" t="s">
        <v>937</v>
      </c>
      <c r="KZ135" s="35"/>
    </row>
    <row r="136" ht="15.75" customHeight="1">
      <c r="V136" s="1"/>
      <c r="W136" s="1"/>
      <c r="KX136" s="33" t="s">
        <v>938</v>
      </c>
      <c r="KY136" s="34" t="s">
        <v>939</v>
      </c>
      <c r="KZ136" s="35"/>
    </row>
    <row r="137" ht="15.75" customHeight="1">
      <c r="V137" s="1"/>
      <c r="W137" s="1"/>
      <c r="KX137" s="33" t="s">
        <v>940</v>
      </c>
      <c r="KY137" s="34" t="s">
        <v>941</v>
      </c>
      <c r="KZ137" s="35"/>
    </row>
    <row r="138" ht="15.75" customHeight="1">
      <c r="V138" s="1"/>
      <c r="W138" s="1"/>
      <c r="KX138" s="33" t="s">
        <v>942</v>
      </c>
      <c r="KY138" s="34" t="s">
        <v>943</v>
      </c>
      <c r="KZ138" s="35"/>
    </row>
    <row r="139" ht="15.75" customHeight="1">
      <c r="V139" s="1"/>
      <c r="W139" s="1"/>
      <c r="KX139" s="46" t="s">
        <v>944</v>
      </c>
      <c r="KY139" s="47" t="s">
        <v>945</v>
      </c>
      <c r="KZ139" s="35"/>
    </row>
    <row r="140" ht="15.75" customHeight="1">
      <c r="V140" s="1"/>
      <c r="W140" s="1"/>
      <c r="KX140" s="33" t="s">
        <v>946</v>
      </c>
      <c r="KY140" s="34" t="s">
        <v>947</v>
      </c>
      <c r="KZ140" s="35"/>
    </row>
    <row r="141" ht="15.75" customHeight="1">
      <c r="V141" s="1"/>
      <c r="W141" s="1"/>
      <c r="KX141" s="33" t="s">
        <v>948</v>
      </c>
      <c r="KY141" s="34" t="s">
        <v>949</v>
      </c>
      <c r="KZ141" s="35"/>
    </row>
    <row r="142" ht="15.75" customHeight="1">
      <c r="V142" s="1"/>
      <c r="W142" s="1"/>
      <c r="KX142" s="33" t="s">
        <v>950</v>
      </c>
      <c r="KY142" s="34" t="s">
        <v>951</v>
      </c>
      <c r="KZ142" s="35"/>
    </row>
    <row r="143" ht="15.75" customHeight="1">
      <c r="V143" s="1"/>
      <c r="W143" s="1"/>
      <c r="KX143" s="33" t="s">
        <v>952</v>
      </c>
      <c r="KY143" s="34" t="s">
        <v>953</v>
      </c>
      <c r="KZ143" s="35"/>
    </row>
    <row r="144" ht="15.75" customHeight="1">
      <c r="V144" s="1"/>
      <c r="W144" s="1"/>
      <c r="KX144" s="33" t="s">
        <v>954</v>
      </c>
      <c r="KY144" s="48" t="s">
        <v>955</v>
      </c>
      <c r="KZ144" s="35"/>
    </row>
    <row r="145" ht="15.75" customHeight="1">
      <c r="V145" s="1"/>
      <c r="W145" s="1"/>
      <c r="KX145" s="33" t="s">
        <v>956</v>
      </c>
      <c r="KY145" s="34" t="s">
        <v>957</v>
      </c>
      <c r="KZ145" s="35"/>
    </row>
    <row r="146" ht="15.75" customHeight="1">
      <c r="V146" s="1"/>
      <c r="W146" s="1"/>
      <c r="KX146" s="33" t="s">
        <v>958</v>
      </c>
      <c r="KY146" s="34" t="s">
        <v>959</v>
      </c>
      <c r="KZ146" s="35"/>
    </row>
    <row r="147" ht="15.75" customHeight="1">
      <c r="V147" s="1"/>
      <c r="W147" s="1"/>
      <c r="KX147" s="33" t="s">
        <v>960</v>
      </c>
      <c r="KY147" s="34" t="s">
        <v>961</v>
      </c>
      <c r="KZ147" s="35"/>
    </row>
    <row r="148" ht="15.75" customHeight="1">
      <c r="V148" s="1"/>
      <c r="W148" s="1"/>
      <c r="KX148" s="49" t="s">
        <v>962</v>
      </c>
      <c r="KY148" s="34" t="s">
        <v>963</v>
      </c>
      <c r="KZ148" s="35"/>
    </row>
    <row r="149" ht="15.75" customHeight="1">
      <c r="V149" s="1"/>
      <c r="W149" s="1"/>
      <c r="KX149" s="33" t="s">
        <v>964</v>
      </c>
      <c r="KY149" s="34" t="s">
        <v>965</v>
      </c>
      <c r="KZ149" s="35"/>
    </row>
    <row r="150" ht="15.75" customHeight="1">
      <c r="V150" s="1"/>
      <c r="W150" s="1"/>
      <c r="KX150" s="33" t="s">
        <v>966</v>
      </c>
      <c r="KY150" s="34" t="s">
        <v>967</v>
      </c>
      <c r="KZ150" s="35"/>
    </row>
    <row r="151" ht="15.75" customHeight="1">
      <c r="V151" s="1"/>
      <c r="W151" s="1"/>
      <c r="KX151" s="33" t="s">
        <v>968</v>
      </c>
      <c r="KY151" s="34" t="s">
        <v>969</v>
      </c>
      <c r="KZ151" s="35"/>
    </row>
    <row r="152" ht="15.75" customHeight="1">
      <c r="V152" s="1"/>
      <c r="W152" s="1"/>
      <c r="KX152" s="33" t="s">
        <v>970</v>
      </c>
      <c r="KY152" s="34" t="s">
        <v>971</v>
      </c>
      <c r="KZ152" s="35"/>
    </row>
    <row r="153" ht="15.75" customHeight="1">
      <c r="V153" s="1"/>
      <c r="W153" s="1"/>
      <c r="KX153" s="33" t="s">
        <v>972</v>
      </c>
      <c r="KY153" s="34" t="s">
        <v>973</v>
      </c>
      <c r="KZ153" s="35"/>
    </row>
    <row r="154" ht="15.75" customHeight="1">
      <c r="V154" s="1"/>
      <c r="W154" s="1"/>
      <c r="KX154" s="33" t="s">
        <v>974</v>
      </c>
      <c r="KY154" s="34" t="s">
        <v>975</v>
      </c>
      <c r="KZ154" s="35"/>
    </row>
    <row r="155" ht="15.75" customHeight="1">
      <c r="V155" s="1"/>
      <c r="W155" s="1"/>
      <c r="KX155" s="33" t="s">
        <v>976</v>
      </c>
      <c r="KY155" s="34" t="s">
        <v>977</v>
      </c>
      <c r="KZ155" s="35"/>
    </row>
    <row r="156" ht="15.75" customHeight="1">
      <c r="V156" s="1"/>
      <c r="W156" s="1"/>
      <c r="KX156" s="33" t="s">
        <v>978</v>
      </c>
      <c r="KY156" s="34" t="s">
        <v>979</v>
      </c>
      <c r="KZ156" s="35"/>
    </row>
    <row r="157" ht="15.75" customHeight="1">
      <c r="V157" s="1"/>
      <c r="W157" s="1"/>
      <c r="KX157" s="33" t="s">
        <v>980</v>
      </c>
      <c r="KY157" s="34" t="s">
        <v>981</v>
      </c>
      <c r="KZ157" s="35"/>
    </row>
    <row r="158" ht="15.75" customHeight="1">
      <c r="V158" s="1"/>
      <c r="W158" s="1"/>
      <c r="KX158" s="33" t="s">
        <v>982</v>
      </c>
      <c r="KY158" s="34" t="s">
        <v>983</v>
      </c>
      <c r="KZ158" s="35"/>
    </row>
    <row r="159" ht="15.75" customHeight="1">
      <c r="V159" s="1"/>
      <c r="W159" s="1"/>
      <c r="KX159" s="33" t="s">
        <v>984</v>
      </c>
      <c r="KY159" s="34" t="s">
        <v>985</v>
      </c>
      <c r="KZ159" s="35"/>
    </row>
    <row r="160" ht="15.75" customHeight="1">
      <c r="V160" s="1"/>
      <c r="W160" s="1"/>
      <c r="KX160" s="33" t="s">
        <v>986</v>
      </c>
      <c r="KY160" s="34" t="s">
        <v>987</v>
      </c>
      <c r="KZ160" s="35"/>
    </row>
    <row r="161" ht="15.75" customHeight="1">
      <c r="V161" s="1"/>
      <c r="W161" s="1"/>
      <c r="KX161" s="33" t="s">
        <v>988</v>
      </c>
      <c r="KY161" s="34" t="s">
        <v>989</v>
      </c>
      <c r="KZ161" s="35"/>
    </row>
    <row r="162" ht="15.75" customHeight="1">
      <c r="V162" s="1"/>
      <c r="W162" s="1"/>
      <c r="KX162" s="49" t="s">
        <v>990</v>
      </c>
      <c r="KY162" s="34" t="s">
        <v>991</v>
      </c>
      <c r="KZ162" s="35"/>
    </row>
    <row r="163" ht="15.75" customHeight="1">
      <c r="V163" s="1"/>
      <c r="W163" s="1"/>
      <c r="KX163" s="33" t="s">
        <v>992</v>
      </c>
      <c r="KY163" s="34" t="s">
        <v>993</v>
      </c>
      <c r="KZ163" s="35"/>
    </row>
    <row r="164" ht="15.75" customHeight="1">
      <c r="V164" s="1"/>
      <c r="W164" s="1"/>
      <c r="KX164" s="33" t="s">
        <v>994</v>
      </c>
      <c r="KY164" s="34" t="s">
        <v>995</v>
      </c>
      <c r="KZ164" s="35"/>
    </row>
    <row r="165" ht="15.75" customHeight="1">
      <c r="V165" s="1"/>
      <c r="W165" s="1"/>
      <c r="KX165" s="33" t="s">
        <v>996</v>
      </c>
      <c r="KY165" s="34" t="s">
        <v>997</v>
      </c>
      <c r="KZ165" s="35"/>
    </row>
    <row r="166" ht="15.75" customHeight="1">
      <c r="V166" s="1"/>
      <c r="W166" s="1"/>
      <c r="KX166" s="33" t="s">
        <v>998</v>
      </c>
      <c r="KY166" s="34" t="s">
        <v>999</v>
      </c>
      <c r="KZ166" s="35"/>
    </row>
    <row r="167" ht="15.75" customHeight="1">
      <c r="V167" s="1"/>
      <c r="W167" s="1"/>
      <c r="KX167" s="33" t="s">
        <v>1000</v>
      </c>
      <c r="KY167" s="34" t="s">
        <v>1001</v>
      </c>
      <c r="KZ167" s="35"/>
    </row>
    <row r="168" ht="15.75" customHeight="1">
      <c r="V168" s="1"/>
      <c r="W168" s="1"/>
      <c r="KX168" s="33" t="s">
        <v>1002</v>
      </c>
      <c r="KY168" s="34" t="s">
        <v>1003</v>
      </c>
      <c r="KZ168" s="35"/>
    </row>
    <row r="169" ht="15.75" customHeight="1">
      <c r="V169" s="1"/>
      <c r="W169" s="1"/>
      <c r="KX169" s="49" t="s">
        <v>1004</v>
      </c>
      <c r="KY169" s="50" t="s">
        <v>1005</v>
      </c>
      <c r="KZ169" s="35"/>
    </row>
    <row r="170" ht="15.75" customHeight="1">
      <c r="V170" s="1"/>
      <c r="W170" s="1"/>
      <c r="KX170" s="51" t="s">
        <v>1006</v>
      </c>
      <c r="KY170" s="47" t="s">
        <v>1007</v>
      </c>
      <c r="KZ170" s="52"/>
    </row>
    <row r="171" ht="15.75" customHeight="1">
      <c r="V171" s="1"/>
      <c r="W171" s="1"/>
      <c r="KX171" s="53" t="s">
        <v>1008</v>
      </c>
      <c r="KY171" s="34" t="s">
        <v>1009</v>
      </c>
      <c r="KZ171" s="52"/>
    </row>
    <row r="172" ht="15.75" customHeight="1">
      <c r="V172" s="1"/>
      <c r="W172" s="1"/>
      <c r="KX172" s="53" t="s">
        <v>1010</v>
      </c>
      <c r="KY172" s="34" t="s">
        <v>1011</v>
      </c>
      <c r="KZ172" s="52"/>
    </row>
    <row r="173" ht="15.75" customHeight="1">
      <c r="V173" s="1"/>
      <c r="W173" s="1"/>
      <c r="KX173" s="53" t="s">
        <v>1012</v>
      </c>
      <c r="KY173" s="34" t="s">
        <v>1013</v>
      </c>
      <c r="KZ173" s="52"/>
    </row>
    <row r="174" ht="15.75" customHeight="1">
      <c r="V174" s="1"/>
      <c r="W174" s="1"/>
      <c r="KX174" s="53" t="s">
        <v>1014</v>
      </c>
      <c r="KY174" s="34" t="s">
        <v>1015</v>
      </c>
      <c r="KZ174" s="52"/>
    </row>
    <row r="175" ht="15.75" customHeight="1">
      <c r="V175" s="1"/>
      <c r="W175" s="1"/>
      <c r="KX175" s="53" t="s">
        <v>1016</v>
      </c>
      <c r="KY175" s="34" t="s">
        <v>1017</v>
      </c>
      <c r="KZ175" s="52"/>
    </row>
    <row r="176" ht="15.75" customHeight="1">
      <c r="V176" s="1"/>
      <c r="W176" s="1"/>
      <c r="KX176" s="53" t="s">
        <v>1018</v>
      </c>
      <c r="KY176" s="34" t="s">
        <v>1019</v>
      </c>
      <c r="KZ176" s="52"/>
    </row>
    <row r="177" ht="15.75" customHeight="1">
      <c r="V177" s="1"/>
      <c r="W177" s="1"/>
      <c r="KX177" s="53" t="s">
        <v>1020</v>
      </c>
      <c r="KY177" s="34" t="s">
        <v>1021</v>
      </c>
      <c r="KZ177" s="52"/>
    </row>
    <row r="178" ht="15.75" customHeight="1">
      <c r="V178" s="1"/>
      <c r="W178" s="1"/>
      <c r="KX178" s="53" t="s">
        <v>1022</v>
      </c>
      <c r="KY178" s="34" t="s">
        <v>1023</v>
      </c>
      <c r="KZ178" s="52"/>
    </row>
    <row r="179" ht="15.75" customHeight="1">
      <c r="V179" s="1"/>
      <c r="W179" s="1"/>
      <c r="KX179" s="53" t="s">
        <v>1024</v>
      </c>
      <c r="KY179" s="34" t="s">
        <v>1025</v>
      </c>
      <c r="KZ179" s="52"/>
    </row>
    <row r="180" ht="15.75" customHeight="1">
      <c r="V180" s="1"/>
      <c r="W180" s="1"/>
      <c r="KX180" s="53" t="s">
        <v>1026</v>
      </c>
      <c r="KY180" s="34" t="s">
        <v>1027</v>
      </c>
      <c r="KZ180" s="52"/>
    </row>
    <row r="181" ht="15.75" customHeight="1">
      <c r="V181" s="1"/>
      <c r="W181" s="1"/>
      <c r="KX181" s="53" t="s">
        <v>1028</v>
      </c>
      <c r="KY181" s="34" t="s">
        <v>1029</v>
      </c>
      <c r="KZ181" s="52"/>
    </row>
    <row r="182" ht="15.75" customHeight="1">
      <c r="V182" s="1"/>
      <c r="W182" s="1"/>
      <c r="KX182" s="53" t="s">
        <v>1030</v>
      </c>
      <c r="KY182" s="34" t="s">
        <v>1031</v>
      </c>
      <c r="KZ182" s="52"/>
    </row>
    <row r="183" ht="15.75" customHeight="1">
      <c r="V183" s="1"/>
      <c r="W183" s="1"/>
      <c r="KX183" s="53" t="s">
        <v>1032</v>
      </c>
      <c r="KY183" s="34" t="s">
        <v>1033</v>
      </c>
      <c r="KZ183" s="52"/>
    </row>
    <row r="184" ht="15.75" customHeight="1">
      <c r="V184" s="1"/>
      <c r="W184" s="1"/>
      <c r="KX184" s="53" t="s">
        <v>1034</v>
      </c>
      <c r="KY184" s="34" t="s">
        <v>1035</v>
      </c>
      <c r="KZ184" s="52"/>
    </row>
    <row r="185" ht="15.75" customHeight="1">
      <c r="V185" s="1"/>
      <c r="W185" s="1"/>
      <c r="KX185" s="53" t="s">
        <v>1036</v>
      </c>
      <c r="KY185" s="34" t="s">
        <v>1037</v>
      </c>
      <c r="KZ185" s="52"/>
    </row>
    <row r="186" ht="15.75" customHeight="1">
      <c r="V186" s="1"/>
      <c r="W186" s="1"/>
      <c r="KX186" s="53" t="s">
        <v>1038</v>
      </c>
      <c r="KY186" s="34" t="s">
        <v>1039</v>
      </c>
      <c r="KZ186" s="52"/>
    </row>
    <row r="187" ht="15.75" customHeight="1">
      <c r="V187" s="1"/>
      <c r="W187" s="1"/>
      <c r="KX187" s="53" t="s">
        <v>1040</v>
      </c>
      <c r="KY187" s="34" t="s">
        <v>1041</v>
      </c>
      <c r="KZ187" s="52"/>
    </row>
    <row r="188" ht="15.75" customHeight="1">
      <c r="V188" s="1"/>
      <c r="W188" s="1"/>
      <c r="KX188" s="53" t="s">
        <v>1042</v>
      </c>
      <c r="KY188" s="34" t="s">
        <v>1043</v>
      </c>
      <c r="KZ188" s="52"/>
    </row>
    <row r="189" ht="15.75" customHeight="1">
      <c r="V189" s="1"/>
      <c r="W189" s="1"/>
      <c r="KX189" s="53" t="s">
        <v>1044</v>
      </c>
      <c r="KY189" s="34" t="s">
        <v>1045</v>
      </c>
      <c r="KZ189" s="52"/>
    </row>
    <row r="190" ht="15.75" customHeight="1">
      <c r="V190" s="1"/>
      <c r="W190" s="1"/>
      <c r="KX190" s="53" t="s">
        <v>1046</v>
      </c>
      <c r="KY190" s="34" t="s">
        <v>1047</v>
      </c>
      <c r="KZ190" s="52"/>
    </row>
    <row r="191" ht="15.75" customHeight="1">
      <c r="V191" s="1"/>
      <c r="W191" s="1"/>
      <c r="KX191" s="53" t="s">
        <v>1048</v>
      </c>
      <c r="KY191" s="34" t="s">
        <v>1049</v>
      </c>
      <c r="KZ191" s="52"/>
    </row>
    <row r="192" ht="15.75" customHeight="1">
      <c r="V192" s="1"/>
      <c r="W192" s="1"/>
      <c r="KX192" s="53" t="s">
        <v>1050</v>
      </c>
      <c r="KY192" s="34" t="s">
        <v>1051</v>
      </c>
      <c r="KZ192" s="52"/>
    </row>
    <row r="193" ht="15.75" customHeight="1">
      <c r="V193" s="1"/>
      <c r="W193" s="1"/>
      <c r="KX193" s="53" t="s">
        <v>1052</v>
      </c>
      <c r="KY193" s="34" t="s">
        <v>1053</v>
      </c>
      <c r="KZ193" s="52"/>
    </row>
    <row r="194" ht="15.75" customHeight="1">
      <c r="V194" s="1"/>
      <c r="W194" s="1"/>
      <c r="KX194" s="53" t="s">
        <v>1054</v>
      </c>
      <c r="KY194" s="34" t="s">
        <v>1055</v>
      </c>
      <c r="KZ194" s="52"/>
    </row>
    <row r="195" ht="15.75" customHeight="1">
      <c r="V195" s="1"/>
      <c r="W195" s="1"/>
      <c r="KX195" s="53" t="s">
        <v>1056</v>
      </c>
      <c r="KY195" s="34" t="s">
        <v>1057</v>
      </c>
      <c r="KZ195" s="52"/>
    </row>
    <row r="196" ht="15.75" customHeight="1">
      <c r="V196" s="1"/>
      <c r="W196" s="1"/>
      <c r="KX196" s="53" t="s">
        <v>1058</v>
      </c>
      <c r="KY196" s="34" t="s">
        <v>1059</v>
      </c>
      <c r="KZ196" s="52"/>
    </row>
    <row r="197" ht="15.75" customHeight="1">
      <c r="V197" s="1"/>
      <c r="W197" s="1"/>
      <c r="KX197" s="53" t="s">
        <v>1060</v>
      </c>
      <c r="KY197" s="34" t="s">
        <v>1061</v>
      </c>
      <c r="KZ197" s="52"/>
    </row>
    <row r="198" ht="15.75" customHeight="1">
      <c r="V198" s="1"/>
      <c r="W198" s="1"/>
      <c r="KX198" s="53" t="s">
        <v>1062</v>
      </c>
      <c r="KY198" s="34" t="s">
        <v>1063</v>
      </c>
      <c r="KZ198" s="52"/>
    </row>
    <row r="199" ht="15.75" customHeight="1">
      <c r="V199" s="1"/>
      <c r="W199" s="1"/>
      <c r="KX199" s="53" t="s">
        <v>1064</v>
      </c>
      <c r="KY199" s="34" t="s">
        <v>1065</v>
      </c>
      <c r="KZ199" s="52"/>
    </row>
    <row r="200" ht="15.75" customHeight="1">
      <c r="V200" s="1"/>
      <c r="W200" s="1"/>
      <c r="KX200" s="53" t="s">
        <v>1066</v>
      </c>
      <c r="KY200" s="34" t="s">
        <v>1067</v>
      </c>
      <c r="KZ200" s="52"/>
    </row>
    <row r="201" ht="15.75" customHeight="1">
      <c r="V201" s="1"/>
      <c r="W201" s="1"/>
      <c r="KX201" s="53" t="s">
        <v>1068</v>
      </c>
      <c r="KY201" s="34" t="s">
        <v>1069</v>
      </c>
      <c r="KZ201" s="52"/>
    </row>
    <row r="202" ht="15.75" customHeight="1">
      <c r="V202" s="1"/>
      <c r="W202" s="1"/>
      <c r="KX202" s="53" t="s">
        <v>1070</v>
      </c>
      <c r="KY202" s="34" t="s">
        <v>1071</v>
      </c>
      <c r="KZ202" s="52"/>
    </row>
    <row r="203" ht="15.75" customHeight="1">
      <c r="V203" s="1"/>
      <c r="W203" s="1"/>
      <c r="KX203" s="53" t="s">
        <v>1072</v>
      </c>
      <c r="KY203" s="34" t="s">
        <v>1073</v>
      </c>
      <c r="KZ203" s="52"/>
    </row>
    <row r="204" ht="15.75" customHeight="1">
      <c r="V204" s="1"/>
      <c r="W204" s="1"/>
      <c r="KX204" s="53" t="s">
        <v>1074</v>
      </c>
      <c r="KY204" s="34" t="s">
        <v>1075</v>
      </c>
      <c r="KZ204" s="52"/>
    </row>
    <row r="205" ht="15.75" customHeight="1">
      <c r="V205" s="1"/>
      <c r="W205" s="1"/>
      <c r="KX205" s="51" t="s">
        <v>1076</v>
      </c>
      <c r="KY205" s="47" t="s">
        <v>1077</v>
      </c>
      <c r="KZ205" s="52"/>
    </row>
    <row r="206" ht="15.75" customHeight="1">
      <c r="V206" s="1"/>
      <c r="W206" s="1"/>
      <c r="KX206" s="53" t="s">
        <v>1078</v>
      </c>
      <c r="KY206" s="34" t="s">
        <v>1079</v>
      </c>
      <c r="KZ206" s="52"/>
    </row>
    <row r="207" ht="15.75" customHeight="1">
      <c r="V207" s="1"/>
      <c r="W207" s="1"/>
      <c r="KX207" s="53" t="s">
        <v>1080</v>
      </c>
      <c r="KY207" s="34" t="s">
        <v>1081</v>
      </c>
      <c r="KZ207" s="52"/>
    </row>
    <row r="208" ht="15.75" customHeight="1">
      <c r="V208" s="1"/>
      <c r="W208" s="1"/>
      <c r="KX208" s="53" t="s">
        <v>1082</v>
      </c>
      <c r="KY208" s="34" t="s">
        <v>1083</v>
      </c>
      <c r="KZ208" s="52"/>
    </row>
    <row r="209" ht="15.75" customHeight="1">
      <c r="V209" s="1"/>
      <c r="W209" s="1"/>
      <c r="KX209" s="53" t="s">
        <v>1084</v>
      </c>
      <c r="KY209" s="34" t="s">
        <v>1085</v>
      </c>
      <c r="KZ209" s="52"/>
    </row>
    <row r="210" ht="15.75" customHeight="1">
      <c r="V210" s="1"/>
      <c r="W210" s="1"/>
      <c r="KX210" s="53" t="s">
        <v>1086</v>
      </c>
      <c r="KY210" s="34" t="s">
        <v>1087</v>
      </c>
      <c r="KZ210" s="52"/>
    </row>
    <row r="211" ht="15.75" customHeight="1">
      <c r="V211" s="1"/>
      <c r="W211" s="1"/>
      <c r="KX211" s="53" t="s">
        <v>1088</v>
      </c>
      <c r="KY211" s="34" t="s">
        <v>1089</v>
      </c>
      <c r="KZ211" s="52"/>
    </row>
    <row r="212" ht="15.75" customHeight="1">
      <c r="V212" s="1"/>
      <c r="W212" s="1"/>
      <c r="KX212" s="53" t="s">
        <v>1090</v>
      </c>
      <c r="KY212" s="34" t="s">
        <v>1091</v>
      </c>
      <c r="KZ212" s="52"/>
    </row>
    <row r="213" ht="15.75" customHeight="1">
      <c r="V213" s="1"/>
      <c r="W213" s="1"/>
      <c r="KX213" s="53" t="s">
        <v>1092</v>
      </c>
      <c r="KY213" s="34" t="s">
        <v>1093</v>
      </c>
      <c r="KZ213" s="52"/>
    </row>
    <row r="214" ht="15.75" customHeight="1">
      <c r="V214" s="1"/>
      <c r="W214" s="1"/>
      <c r="KX214" s="53" t="s">
        <v>1094</v>
      </c>
      <c r="KY214" s="34" t="s">
        <v>1095</v>
      </c>
      <c r="KZ214" s="52"/>
    </row>
    <row r="215" ht="15.75" customHeight="1">
      <c r="V215" s="1"/>
      <c r="W215" s="1"/>
      <c r="KX215" s="53" t="s">
        <v>1096</v>
      </c>
      <c r="KY215" s="34" t="s">
        <v>1097</v>
      </c>
      <c r="KZ215" s="52"/>
    </row>
    <row r="216" ht="15.75" customHeight="1">
      <c r="V216" s="1"/>
      <c r="W216" s="1"/>
      <c r="KX216" s="53" t="s">
        <v>1098</v>
      </c>
      <c r="KY216" s="34" t="s">
        <v>1099</v>
      </c>
      <c r="KZ216" s="52"/>
    </row>
    <row r="217" ht="15.75" customHeight="1">
      <c r="V217" s="1"/>
      <c r="KX217" s="53" t="s">
        <v>1100</v>
      </c>
      <c r="KY217" s="34" t="s">
        <v>1101</v>
      </c>
      <c r="KZ217" s="52"/>
    </row>
    <row r="218" ht="15.75" customHeight="1">
      <c r="V218" s="1"/>
      <c r="KX218" s="53" t="s">
        <v>1102</v>
      </c>
      <c r="KY218" s="34" t="s">
        <v>1103</v>
      </c>
      <c r="KZ218" s="52"/>
    </row>
    <row r="219" ht="15.75" customHeight="1">
      <c r="V219" s="1"/>
      <c r="KX219" s="53" t="s">
        <v>1104</v>
      </c>
      <c r="KY219" s="34" t="s">
        <v>1105</v>
      </c>
      <c r="KZ219" s="52"/>
    </row>
    <row r="220" ht="15.75" customHeight="1">
      <c r="V220" s="1"/>
      <c r="KX220" s="53" t="s">
        <v>1106</v>
      </c>
      <c r="KY220" s="34" t="s">
        <v>1107</v>
      </c>
      <c r="KZ220" s="52"/>
    </row>
    <row r="221" ht="15.75" customHeight="1">
      <c r="V221" s="1"/>
      <c r="KX221" s="53" t="s">
        <v>1108</v>
      </c>
      <c r="KY221" s="34" t="s">
        <v>1109</v>
      </c>
      <c r="KZ221" s="52"/>
    </row>
    <row r="222" ht="15.75" customHeight="1">
      <c r="V222" s="1"/>
      <c r="KX222" s="53" t="s">
        <v>1110</v>
      </c>
      <c r="KY222" s="34" t="s">
        <v>1111</v>
      </c>
      <c r="KZ222" s="52"/>
    </row>
    <row r="223" ht="15.75" customHeight="1">
      <c r="V223" s="1"/>
      <c r="KX223" s="53" t="s">
        <v>1112</v>
      </c>
      <c r="KY223" s="34" t="s">
        <v>1113</v>
      </c>
      <c r="KZ223" s="52"/>
    </row>
    <row r="224" ht="15.75" customHeight="1">
      <c r="V224" s="1"/>
      <c r="KX224" s="53" t="s">
        <v>1114</v>
      </c>
      <c r="KY224" s="34" t="s">
        <v>1115</v>
      </c>
      <c r="KZ224" s="52"/>
    </row>
    <row r="225" ht="15.75" customHeight="1">
      <c r="V225" s="1"/>
      <c r="KX225" s="53" t="s">
        <v>1116</v>
      </c>
      <c r="KY225" s="34" t="s">
        <v>1117</v>
      </c>
      <c r="KZ225" s="52"/>
    </row>
    <row r="226" ht="15.75" customHeight="1">
      <c r="V226" s="1"/>
      <c r="KX226" s="53" t="s">
        <v>1118</v>
      </c>
      <c r="KY226" s="34" t="s">
        <v>1119</v>
      </c>
      <c r="KZ226" s="52"/>
    </row>
    <row r="227" ht="15.75" customHeight="1">
      <c r="V227" s="1"/>
      <c r="KX227" s="53" t="s">
        <v>1120</v>
      </c>
      <c r="KY227" s="34" t="s">
        <v>1121</v>
      </c>
      <c r="KZ227" s="52"/>
    </row>
    <row r="228" ht="15.75" customHeight="1">
      <c r="V228" s="1"/>
    </row>
    <row r="229" ht="15.75" customHeight="1">
      <c r="V229" s="1"/>
    </row>
    <row r="230" ht="15.75" customHeight="1">
      <c r="V230" s="1"/>
    </row>
    <row r="231" ht="15.75" customHeight="1">
      <c r="V231" s="1"/>
    </row>
    <row r="232" ht="15.75" customHeight="1">
      <c r="V232" s="1"/>
    </row>
    <row r="233" ht="15.75" customHeight="1">
      <c r="V233" s="1"/>
    </row>
    <row r="234" ht="15.75" customHeight="1">
      <c r="V234" s="1"/>
    </row>
    <row r="235" ht="15.75" customHeight="1">
      <c r="V235" s="1"/>
    </row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</sheetData>
  <mergeCells count="3">
    <mergeCell ref="B1:C1"/>
    <mergeCell ref="D3:D4"/>
    <mergeCell ref="D5:D7"/>
  </mergeCells>
  <dataValidations>
    <dataValidation type="list" allowBlank="1" showErrorMessage="1" sqref="F11:F34">
      <formula1>$LB$13:$LB$20</formula1>
    </dataValidation>
    <dataValidation type="list" allowBlank="1" showErrorMessage="1" sqref="H9">
      <formula1>"Español,English"</formula1>
    </dataValidation>
    <dataValidation type="list" allowBlank="1" showErrorMessage="1" sqref="E11:E34">
      <formula1>$BY$12:$BY$13</formula1>
    </dataValidation>
    <dataValidation type="list" allowBlank="1" showErrorMessage="1" sqref="G11:G34">
      <formula1>$BP$12:$BP$23</formula1>
    </dataValidation>
  </dataValidations>
  <printOptions/>
  <pageMargins bottom="0.75" footer="0.0" header="0.0" left="0.75" right="0.25" top="1.0"/>
  <pageSetup fitToHeight="0"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2023-08-06T11:24:01Z</dcterms:created>
</cp:coreProperties>
</file>