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TRI" sheetId="1" r:id="rId4"/>
  </sheets>
  <definedNames/>
  <calcPr/>
</workbook>
</file>

<file path=xl/sharedStrings.xml><?xml version="1.0" encoding="utf-8"?>
<sst xmlns="http://schemas.openxmlformats.org/spreadsheetml/2006/main" count="1099" uniqueCount="671">
  <si>
    <t>v 1.0</t>
  </si>
  <si>
    <t>[DIV] - Clavados</t>
  </si>
  <si>
    <t>[SWM] - Natación</t>
  </si>
  <si>
    <t>[SWA] - Natación Artística</t>
  </si>
  <si>
    <t>[WPO] - Polo Acuático</t>
  </si>
  <si>
    <t>[OWS] - Aguas Abiertas</t>
  </si>
  <si>
    <t>[ATH] - Atletismo</t>
  </si>
  <si>
    <t>[BDM] - Bádminton</t>
  </si>
  <si>
    <t>[BKB] - Básquetbol</t>
  </si>
  <si>
    <t>[BK3] - Básquetbol 3x3</t>
  </si>
  <si>
    <t>[HBL] - Balonmano</t>
  </si>
  <si>
    <t>[BBL] - Béisbol</t>
  </si>
  <si>
    <t>[SBL] - Sóftbol</t>
  </si>
  <si>
    <t>[BWL] - Bowling</t>
  </si>
  <si>
    <t>[BOX] - Boxeo</t>
  </si>
  <si>
    <t>[BKG] - Breaking</t>
  </si>
  <si>
    <t>[CSP] - Canotaje - Velocidad</t>
  </si>
  <si>
    <t>[CSL] - Canotaje - Slalom</t>
  </si>
  <si>
    <t>[BMF] - Ciclismo - BMX Freestyle</t>
  </si>
  <si>
    <t>[BMX] - Ciclismo - BMX Racing</t>
  </si>
  <si>
    <t>[MTB] - Ciclismo - Mountain Bike</t>
  </si>
  <si>
    <t>[CRD] - Ciclismo - Ruta</t>
  </si>
  <si>
    <t>[CTR] - Ciclismo - Pista</t>
  </si>
  <si>
    <t>[EDR] - Ecuestre - Adiestramiento</t>
  </si>
  <si>
    <t>[EVE] - Ecuestre - Evento Completo</t>
  </si>
  <si>
    <t>[EJP] - Ecuestre - Salto</t>
  </si>
  <si>
    <t>[CLB] - Escalada Deportiva</t>
  </si>
  <si>
    <t>[FEN] - Esgrima</t>
  </si>
  <si>
    <t>[WSK] - Esquí Acuático</t>
  </si>
  <si>
    <t>[FBL] - Fútbol</t>
  </si>
  <si>
    <t>[GAR] - Gimnasia - Artística</t>
  </si>
  <si>
    <t>[GRY] - Gimnasia - Rítmica</t>
  </si>
  <si>
    <t>[GTR] - Gimnasia - Trampolín</t>
  </si>
  <si>
    <t>[GLF] - Golf</t>
  </si>
  <si>
    <t>[HOC] - Hockey Césped</t>
  </si>
  <si>
    <t>[JUD] - Judo</t>
  </si>
  <si>
    <t>[KTE] - Karate</t>
  </si>
  <si>
    <t>[WLF] - Levantamiento de Pesas</t>
  </si>
  <si>
    <t xml:space="preserve">[WRE] - Lucha </t>
  </si>
  <si>
    <t>[ARS] - Patinaje Artístico</t>
  </si>
  <si>
    <t>[SSK] - Patinaje Velocidad</t>
  </si>
  <si>
    <t>[SKB] - Skateboarding</t>
  </si>
  <si>
    <t>[PEL] - Pelota Vasca</t>
  </si>
  <si>
    <t>[MPN] - Pentatlón Moderno</t>
  </si>
  <si>
    <t>[RQL] - Ráquetbol</t>
  </si>
  <si>
    <t>[ROW] - Remo</t>
  </si>
  <si>
    <t>[RUG] - Rugby 7</t>
  </si>
  <si>
    <t>[SQU] - Squash</t>
  </si>
  <si>
    <t>[SRF] - Surf</t>
  </si>
  <si>
    <t>[TKW] - Taekwondo</t>
  </si>
  <si>
    <t>[TEN] - Tenis</t>
  </si>
  <si>
    <t>[TTE] - Tenis de Mesa</t>
  </si>
  <si>
    <t>[ARC] - Tiro con Arco</t>
  </si>
  <si>
    <t>[SHO] - Tiro</t>
  </si>
  <si>
    <t>[TRI] - Triatlón</t>
  </si>
  <si>
    <t>[SAL] - Vela</t>
  </si>
  <si>
    <t>[VVO] - Vóleibol</t>
  </si>
  <si>
    <t>[VBV] - Vóleibol Playa</t>
  </si>
  <si>
    <t>Genero</t>
  </si>
  <si>
    <t>Español</t>
  </si>
  <si>
    <t>Individual 1m Trampolín</t>
  </si>
  <si>
    <t>Individual 3m Trampolín</t>
  </si>
  <si>
    <t>Individual 10m Plataforma</t>
  </si>
  <si>
    <t>Sincronizados 3m Trampolín</t>
  </si>
  <si>
    <t>Sincronizados 10m Plataforma</t>
  </si>
  <si>
    <t>50m libre</t>
  </si>
  <si>
    <t>100m libre</t>
  </si>
  <si>
    <t>200m libre</t>
  </si>
  <si>
    <t>400m libre</t>
  </si>
  <si>
    <t>800m libre</t>
  </si>
  <si>
    <t>1.500m libre</t>
  </si>
  <si>
    <t>100m espalda</t>
  </si>
  <si>
    <t>200m espalda</t>
  </si>
  <si>
    <t>100m pecho</t>
  </si>
  <si>
    <t>200m pecho</t>
  </si>
  <si>
    <t>100m mariposa</t>
  </si>
  <si>
    <t>200m mariposa</t>
  </si>
  <si>
    <t>200m combinado individual</t>
  </si>
  <si>
    <t>400m combinado individual</t>
  </si>
  <si>
    <t>4 x 100m posta libre</t>
  </si>
  <si>
    <t>4 x 200m posta libre</t>
  </si>
  <si>
    <t>4 x 100m posta combinada</t>
  </si>
  <si>
    <t>Mixto 4 x 100m posta libre</t>
  </si>
  <si>
    <t>Mixto 4 x 100m posta combinada</t>
  </si>
  <si>
    <t>Equipos</t>
  </si>
  <si>
    <t>Duetos</t>
  </si>
  <si>
    <t>Polo Acuático</t>
  </si>
  <si>
    <t>Aguas Abiertas</t>
  </si>
  <si>
    <t>100m</t>
  </si>
  <si>
    <t>200m</t>
  </si>
  <si>
    <t>400m</t>
  </si>
  <si>
    <t>800m</t>
  </si>
  <si>
    <t>1500m</t>
  </si>
  <si>
    <t>5000m</t>
  </si>
  <si>
    <t>10000m</t>
  </si>
  <si>
    <t>110 / 100 vallas</t>
  </si>
  <si>
    <t>400 Vallas</t>
  </si>
  <si>
    <t>3000 con obstáculos</t>
  </si>
  <si>
    <t>4x100m</t>
  </si>
  <si>
    <t>4x400m</t>
  </si>
  <si>
    <t>Salto de Altura</t>
  </si>
  <si>
    <t>Salto de Longitud</t>
  </si>
  <si>
    <t>Salto Triple</t>
  </si>
  <si>
    <t>Salto con Pérdiga</t>
  </si>
  <si>
    <t>Lanzamiento de Bala</t>
  </si>
  <si>
    <t>Lanzamiento de Disco</t>
  </si>
  <si>
    <t>Lanzamiento de Jabalina</t>
  </si>
  <si>
    <t>Lanzamiento de Martillo</t>
  </si>
  <si>
    <t>20 km marcha</t>
  </si>
  <si>
    <t>Marathon</t>
  </si>
  <si>
    <t>Decatlón</t>
  </si>
  <si>
    <t>Heptatlón</t>
  </si>
  <si>
    <t>Mixto 35 km marcha</t>
  </si>
  <si>
    <t>Mixto 4x400m</t>
  </si>
  <si>
    <t>Individual</t>
  </si>
  <si>
    <t>Dobles</t>
  </si>
  <si>
    <t>Dobles Mixto</t>
  </si>
  <si>
    <t>Básquetbol</t>
  </si>
  <si>
    <t>Básquetbol 3x3</t>
  </si>
  <si>
    <t>Balonmano</t>
  </si>
  <si>
    <t>Béisbol</t>
  </si>
  <si>
    <t>Sóftbol</t>
  </si>
  <si>
    <t>M 51 Kg</t>
  </si>
  <si>
    <t>M 57 Kg</t>
  </si>
  <si>
    <t>M 63.5 Kg</t>
  </si>
  <si>
    <t>M 71 Kg</t>
  </si>
  <si>
    <t>M 80 Kg</t>
  </si>
  <si>
    <t>M 92 Kg</t>
  </si>
  <si>
    <t>M +92 Kg</t>
  </si>
  <si>
    <t>F 50 Kg</t>
  </si>
  <si>
    <t>F 54 Kg</t>
  </si>
  <si>
    <t>F 57 Kg</t>
  </si>
  <si>
    <t>F 60 Kg</t>
  </si>
  <si>
    <t>F 66 Kg</t>
  </si>
  <si>
    <t>F 75 Kg</t>
  </si>
  <si>
    <t>Breaking</t>
  </si>
  <si>
    <t>MK1 1,000m</t>
  </si>
  <si>
    <t>MK2 500m</t>
  </si>
  <si>
    <t>MK4 500m</t>
  </si>
  <si>
    <t>MC1 1,000m</t>
  </si>
  <si>
    <t>MC2 500m</t>
  </si>
  <si>
    <t>WK1 500m</t>
  </si>
  <si>
    <t>WK2 500m</t>
  </si>
  <si>
    <t>WK4 500M</t>
  </si>
  <si>
    <t>WC1 200m</t>
  </si>
  <si>
    <t>WC2 500m</t>
  </si>
  <si>
    <t>K1</t>
  </si>
  <si>
    <t>C1</t>
  </si>
  <si>
    <t>K1 Extreme</t>
  </si>
  <si>
    <t>BMX Freestyle</t>
  </si>
  <si>
    <t>BMX Racing</t>
  </si>
  <si>
    <t>Cross-Country</t>
  </si>
  <si>
    <t>Contrareloj</t>
  </si>
  <si>
    <t>Gran Fondo</t>
  </si>
  <si>
    <t>Velocidad Individual</t>
  </si>
  <si>
    <t>Keirin</t>
  </si>
  <si>
    <t>Omnium</t>
  </si>
  <si>
    <t>Velocidad Equipos</t>
  </si>
  <si>
    <t>Persecución Equipos</t>
  </si>
  <si>
    <t>Madison</t>
  </si>
  <si>
    <t>Adiestramiento Individual</t>
  </si>
  <si>
    <t>Adiestramiento Equipos</t>
  </si>
  <si>
    <t>Evento Completo Individual</t>
  </si>
  <si>
    <t>Evento Completo Equipos</t>
  </si>
  <si>
    <t>Salto Individual</t>
  </si>
  <si>
    <t>Salto Equipos</t>
  </si>
  <si>
    <t>Velocidad</t>
  </si>
  <si>
    <t>Boulder &amp; Lead</t>
  </si>
  <si>
    <t>Espada Individual</t>
  </si>
  <si>
    <t>Florete Individual</t>
  </si>
  <si>
    <t>Sable Individual</t>
  </si>
  <si>
    <t>Espada Equipos</t>
  </si>
  <si>
    <t>Florete Equipos</t>
  </si>
  <si>
    <t>Sable Equipos</t>
  </si>
  <si>
    <t>Figuras</t>
  </si>
  <si>
    <t>Slalom</t>
  </si>
  <si>
    <t>Salto</t>
  </si>
  <si>
    <t>Overall</t>
  </si>
  <si>
    <t>Wakeboard</t>
  </si>
  <si>
    <t>Fútbol</t>
  </si>
  <si>
    <t>Individual General</t>
  </si>
  <si>
    <t>Suelo</t>
  </si>
  <si>
    <t>Caballo Con Arzones</t>
  </si>
  <si>
    <t>Anillas</t>
  </si>
  <si>
    <t>Barras Paralelas</t>
  </si>
  <si>
    <t>Barra Fija</t>
  </si>
  <si>
    <t>Barras Asimétricas</t>
  </si>
  <si>
    <t>Viga De Equilibrio</t>
  </si>
  <si>
    <t>General Individual</t>
  </si>
  <si>
    <t>Aro</t>
  </si>
  <si>
    <t>Pelota</t>
  </si>
  <si>
    <t>Mazas</t>
  </si>
  <si>
    <t>Cinta</t>
  </si>
  <si>
    <t>General De Conjuntos</t>
  </si>
  <si>
    <t>5 Aros</t>
  </si>
  <si>
    <t>3 Cintas/2 Pelotas</t>
  </si>
  <si>
    <t>Sincronizados</t>
  </si>
  <si>
    <t>Golf</t>
  </si>
  <si>
    <t>Hockey Césped</t>
  </si>
  <si>
    <t>M -60 Kg</t>
  </si>
  <si>
    <t>M -66 Kg</t>
  </si>
  <si>
    <t>M -73 Kg</t>
  </si>
  <si>
    <t>M -81 Kg</t>
  </si>
  <si>
    <t>M -90 Kg</t>
  </si>
  <si>
    <t>M -100 Kg</t>
  </si>
  <si>
    <t>M +100 Kg</t>
  </si>
  <si>
    <t>F -48 Kg</t>
  </si>
  <si>
    <t>F -52 Kg</t>
  </si>
  <si>
    <t>F -57 Kg</t>
  </si>
  <si>
    <t>F -63 Kg</t>
  </si>
  <si>
    <t>F -70 Kg</t>
  </si>
  <si>
    <t>F -78 Kg</t>
  </si>
  <si>
    <t>F +78 Kg</t>
  </si>
  <si>
    <t>Equipo  mixto</t>
  </si>
  <si>
    <t>Kumite M -60 Kg</t>
  </si>
  <si>
    <t>Kumite M -67 Kg</t>
  </si>
  <si>
    <t>Kumite M -75 Kg</t>
  </si>
  <si>
    <t>Kumite M -84 Kg</t>
  </si>
  <si>
    <t>Kumite M +84 Kg</t>
  </si>
  <si>
    <t>Kumite F -50 Kg</t>
  </si>
  <si>
    <t>Kumite F -55 Kg</t>
  </si>
  <si>
    <t>Kumite F -61 Kg</t>
  </si>
  <si>
    <t xml:space="preserve">Kumite F -68 Kg </t>
  </si>
  <si>
    <t>Kumite F +68 Kg</t>
  </si>
  <si>
    <t>Kata</t>
  </si>
  <si>
    <t>M 61 Kg</t>
  </si>
  <si>
    <t>M 73 Kg</t>
  </si>
  <si>
    <t>M 89 Kg</t>
  </si>
  <si>
    <t>M 102 Kg</t>
  </si>
  <si>
    <t>M +102 Kg</t>
  </si>
  <si>
    <t>F 49 Kg</t>
  </si>
  <si>
    <t>F 59 Kg</t>
  </si>
  <si>
    <t>F 71 Kg</t>
  </si>
  <si>
    <t>F 81 Kg</t>
  </si>
  <si>
    <t>F +81 Kg</t>
  </si>
  <si>
    <t>Grecoromana 60 Kg</t>
  </si>
  <si>
    <t>Grecoromana 67 Kg</t>
  </si>
  <si>
    <t>Grecoromana 77 Kg</t>
  </si>
  <si>
    <t>Grecoromana 87 Kg</t>
  </si>
  <si>
    <t>Grecoromana 97 Kg</t>
  </si>
  <si>
    <t>Grecoromana 130 Kg</t>
  </si>
  <si>
    <t>Libre M 57 Kg</t>
  </si>
  <si>
    <t>Libre M 65 Kg</t>
  </si>
  <si>
    <t>Libre M 74 Kg</t>
  </si>
  <si>
    <t>Libre M 86 Kg</t>
  </si>
  <si>
    <t>Libre M 97 Kg</t>
  </si>
  <si>
    <t>Libre M 125 Kg</t>
  </si>
  <si>
    <t>Libre F 50 Kg</t>
  </si>
  <si>
    <t>Libre F 53 Kg</t>
  </si>
  <si>
    <t>Libre F 57 Kg</t>
  </si>
  <si>
    <t>Libre F 62 Kg</t>
  </si>
  <si>
    <t>Libre F 68 Kg</t>
  </si>
  <si>
    <t>Libre F 76 Kg</t>
  </si>
  <si>
    <t>Libre</t>
  </si>
  <si>
    <t>200m Meta Contra Meta</t>
  </si>
  <si>
    <t>500m + Distancia</t>
  </si>
  <si>
    <t>10000m Eliminación</t>
  </si>
  <si>
    <t>1000m Sprint</t>
  </si>
  <si>
    <t>Street</t>
  </si>
  <si>
    <t>Park</t>
  </si>
  <si>
    <t>Pelota goma – Dobles Trinquete</t>
  </si>
  <si>
    <t>Pelota goma – Individual (Frontón)</t>
  </si>
  <si>
    <t>Frontenis -Dobles (Frontón)</t>
  </si>
  <si>
    <t>Frontball</t>
  </si>
  <si>
    <t>Relevos</t>
  </si>
  <si>
    <t>Relevos Mixtos</t>
  </si>
  <si>
    <t>Dobles Mixtos</t>
  </si>
  <si>
    <t>M1x</t>
  </si>
  <si>
    <t>M2x</t>
  </si>
  <si>
    <t>M4x</t>
  </si>
  <si>
    <t>M2-</t>
  </si>
  <si>
    <t>M4-</t>
  </si>
  <si>
    <t>LM2x</t>
  </si>
  <si>
    <t>W1x</t>
  </si>
  <si>
    <t>W2x</t>
  </si>
  <si>
    <t>W4x</t>
  </si>
  <si>
    <t>W2-</t>
  </si>
  <si>
    <t>W4-</t>
  </si>
  <si>
    <t>LW2x</t>
  </si>
  <si>
    <t>Mixto 8+</t>
  </si>
  <si>
    <t>Rugby 7</t>
  </si>
  <si>
    <t>Shortboard</t>
  </si>
  <si>
    <t>Sup Surf</t>
  </si>
  <si>
    <t>Sup Race</t>
  </si>
  <si>
    <t>Longboard</t>
  </si>
  <si>
    <t>M Kyorugi -58 Kg</t>
  </si>
  <si>
    <t>M Kyorugi -68 Kg</t>
  </si>
  <si>
    <t>M Kyorugi -80 Kg</t>
  </si>
  <si>
    <t>M Kyorugi +80 Kg</t>
  </si>
  <si>
    <t>F Kyorugi -49 Kg</t>
  </si>
  <si>
    <t>F Kyorugi -57 Kg</t>
  </si>
  <si>
    <t>F Kyorugi -67 Kg</t>
  </si>
  <si>
    <t>F Kyorugi +67 Kg</t>
  </si>
  <si>
    <t>Poomsae Tradicional Individual</t>
  </si>
  <si>
    <t>Poomsae Parejas Libres</t>
  </si>
  <si>
    <t>Recurvo Individual</t>
  </si>
  <si>
    <t>Individual Compuesto</t>
  </si>
  <si>
    <t>Equipo Recurvo</t>
  </si>
  <si>
    <t>Equipo Compuesto</t>
  </si>
  <si>
    <t>Equipo Recurvo Mixto</t>
  </si>
  <si>
    <t>Equipo Compuesto Mixto</t>
  </si>
  <si>
    <t>Rifle 50m 3 Posiciones</t>
  </si>
  <si>
    <t>10m Rifle De Aire</t>
  </si>
  <si>
    <t>10m Pistola De Aire</t>
  </si>
  <si>
    <t>25m Pistola De Fuego Rapido</t>
  </si>
  <si>
    <t>25m Pistola Deportiva</t>
  </si>
  <si>
    <t>Skeet</t>
  </si>
  <si>
    <t>Trap</t>
  </si>
  <si>
    <t>Mixto 10m Rifle De Aire</t>
  </si>
  <si>
    <t>Mixto 10m Pistola De Aire</t>
  </si>
  <si>
    <t>Mixto Skeet</t>
  </si>
  <si>
    <t>Tabla A Vela (Iqfoil)</t>
  </si>
  <si>
    <t>Bote (Ilca 7)</t>
  </si>
  <si>
    <t>Bote (Ilca 6)</t>
  </si>
  <si>
    <t>Bote (Sunfish)</t>
  </si>
  <si>
    <t>Skiff (49Er)</t>
  </si>
  <si>
    <t>Skiff (49Er Fx)</t>
  </si>
  <si>
    <t>Kite (Fomula Kite)</t>
  </si>
  <si>
    <t>Mixto Catamarán (Nacra 17)</t>
  </si>
  <si>
    <t>Mixto Bote (Snipe)</t>
  </si>
  <si>
    <t>Mixto Bote (Lightning)</t>
  </si>
  <si>
    <t>Vóleibol</t>
  </si>
  <si>
    <t>Vóleibol Playa</t>
  </si>
  <si>
    <t>Masculino</t>
  </si>
  <si>
    <t>Femenino</t>
  </si>
  <si>
    <t>English</t>
  </si>
  <si>
    <t>1m Trampoline</t>
  </si>
  <si>
    <t>3m Trampoline</t>
  </si>
  <si>
    <t>10m Platform</t>
  </si>
  <si>
    <t>Synchronized 3m Trampoline</t>
  </si>
  <si>
    <t>Synchronized 10m Platform</t>
  </si>
  <si>
    <t>50 m freestyle</t>
  </si>
  <si>
    <t>100 m freestyle</t>
  </si>
  <si>
    <t>200 m freestyle</t>
  </si>
  <si>
    <t>400 m freestyle</t>
  </si>
  <si>
    <t>800 m freestyle</t>
  </si>
  <si>
    <t>1,500 m freestyle</t>
  </si>
  <si>
    <t>100 m back</t>
  </si>
  <si>
    <t>200 m back</t>
  </si>
  <si>
    <t>100 m chest</t>
  </si>
  <si>
    <t>200 m chest</t>
  </si>
  <si>
    <t>100 m butterfly</t>
  </si>
  <si>
    <t>200 m butterfly</t>
  </si>
  <si>
    <t>200 m Combined individual</t>
  </si>
  <si>
    <t>400 m Combined individual</t>
  </si>
  <si>
    <t>4 x 100 m freestyle relay</t>
  </si>
  <si>
    <t>4 x 200 m freestyle relay</t>
  </si>
  <si>
    <t>4 x 100 m combined relay</t>
  </si>
  <si>
    <t>Mixed 4 x 100 m freestyle relay</t>
  </si>
  <si>
    <t>Mixed 4 x 100 m combined relay</t>
  </si>
  <si>
    <t>Team</t>
  </si>
  <si>
    <t>Doubles</t>
  </si>
  <si>
    <t>Waterpolo</t>
  </si>
  <si>
    <t>Open Water Swimming</t>
  </si>
  <si>
    <t>110 / 100 Hurdles</t>
  </si>
  <si>
    <t>400 hurdles</t>
  </si>
  <si>
    <t>3000 with obstacles</t>
  </si>
  <si>
    <t>High jump</t>
  </si>
  <si>
    <t>Long jump</t>
  </si>
  <si>
    <t>Triple jump</t>
  </si>
  <si>
    <t>Pole Vault</t>
  </si>
  <si>
    <t>Put Shot</t>
  </si>
  <si>
    <t>Discus throw</t>
  </si>
  <si>
    <t>Javelin throw</t>
  </si>
  <si>
    <t>Hammer throw</t>
  </si>
  <si>
    <t>20 km march</t>
  </si>
  <si>
    <t>Decathlon</t>
  </si>
  <si>
    <t>Heptathlon</t>
  </si>
  <si>
    <t>Mixed 35 km march</t>
  </si>
  <si>
    <t>Mixed 4x400m</t>
  </si>
  <si>
    <t>Mixed doubles</t>
  </si>
  <si>
    <t>Basketball</t>
  </si>
  <si>
    <t>Basketball 3x3</t>
  </si>
  <si>
    <t>Handball</t>
  </si>
  <si>
    <t>Baseball</t>
  </si>
  <si>
    <t>Softball</t>
  </si>
  <si>
    <t>Double</t>
  </si>
  <si>
    <t>Time Trial</t>
  </si>
  <si>
    <t>Road</t>
  </si>
  <si>
    <t>Racing</t>
  </si>
  <si>
    <t>Team Racing</t>
  </si>
  <si>
    <t>Team Pursuit</t>
  </si>
  <si>
    <t>Dressing Individual</t>
  </si>
  <si>
    <t>Dressing Team</t>
  </si>
  <si>
    <t>Eventing Individual</t>
  </si>
  <si>
    <t>Eventing Team</t>
  </si>
  <si>
    <t>Jumping Individual</t>
  </si>
  <si>
    <t>Jumping Team</t>
  </si>
  <si>
    <t>Speed</t>
  </si>
  <si>
    <t>Épée Individual</t>
  </si>
  <si>
    <t>Foil Individual</t>
  </si>
  <si>
    <t>Sabre Individual</t>
  </si>
  <si>
    <t>Épée Team</t>
  </si>
  <si>
    <t>Foil Team</t>
  </si>
  <si>
    <t>Sabre Team</t>
  </si>
  <si>
    <t>Figures</t>
  </si>
  <si>
    <t>Leap</t>
  </si>
  <si>
    <t>Football</t>
  </si>
  <si>
    <t>All Around</t>
  </si>
  <si>
    <t>Floor Excercise</t>
  </si>
  <si>
    <t>Pommel Horse</t>
  </si>
  <si>
    <t>Rings</t>
  </si>
  <si>
    <t>Vault</t>
  </si>
  <si>
    <t>Parallel bars</t>
  </si>
  <si>
    <t>Horizontal Bar</t>
  </si>
  <si>
    <t>Uneven bars</t>
  </si>
  <si>
    <t>Balance beam</t>
  </si>
  <si>
    <t>Hoop</t>
  </si>
  <si>
    <t>Ball</t>
  </si>
  <si>
    <t>Clubs</t>
  </si>
  <si>
    <t>Ribbon</t>
  </si>
  <si>
    <t>Groups All Round</t>
  </si>
  <si>
    <t>5 hoops</t>
  </si>
  <si>
    <t>3 ribbons / 2 balls</t>
  </si>
  <si>
    <t>Synchronized</t>
  </si>
  <si>
    <t>Field Hockey</t>
  </si>
  <si>
    <t>-60 Kg</t>
  </si>
  <si>
    <t>Mixed Team</t>
  </si>
  <si>
    <t>Grecoroman 60 Kg</t>
  </si>
  <si>
    <t>Grecoroman 67 Kg</t>
  </si>
  <si>
    <t>Grecoroman 77 Kg</t>
  </si>
  <si>
    <t>Grecoroman 87 Kg</t>
  </si>
  <si>
    <t>Grecoroman 97 Kg</t>
  </si>
  <si>
    <t>Grecoroman 130 Kg</t>
  </si>
  <si>
    <t>Freestyle M 57 Kg</t>
  </si>
  <si>
    <t>Freestyle M 65 Kg</t>
  </si>
  <si>
    <t>Freestyle M 74 Kg</t>
  </si>
  <si>
    <t>Freestyle M 86 Kg</t>
  </si>
  <si>
    <t>Freestyle M 97 Kg</t>
  </si>
  <si>
    <t>Freestyle M 125 Kg</t>
  </si>
  <si>
    <t>Freestyle F 50 Kg</t>
  </si>
  <si>
    <t>Freestyle F 53 Kg</t>
  </si>
  <si>
    <t>Freestyle F 57 Kg</t>
  </si>
  <si>
    <t>Freestyle F 62 Kg</t>
  </si>
  <si>
    <t>Freestyle F 68 Kg</t>
  </si>
  <si>
    <t>Freestyle F 76 Kg</t>
  </si>
  <si>
    <t>Freestyle</t>
  </si>
  <si>
    <t>200m time trial</t>
  </si>
  <si>
    <t>500m + distance</t>
  </si>
  <si>
    <t>10000m Elimination</t>
  </si>
  <si>
    <t>1000M sprint</t>
  </si>
  <si>
    <t>Trinquet Doubles</t>
  </si>
  <si>
    <t>Paleta Gomme</t>
  </si>
  <si>
    <t>Frontenis -Dobles (Fronton)</t>
  </si>
  <si>
    <t>Relay</t>
  </si>
  <si>
    <t>Mixed relay</t>
  </si>
  <si>
    <t>Mixed 8+</t>
  </si>
  <si>
    <t>Poomsae Traditional Individual</t>
  </si>
  <si>
    <t>Poomsae Freestyle Pairs</t>
  </si>
  <si>
    <t>Recurve Individual</t>
  </si>
  <si>
    <t>Compound Individual</t>
  </si>
  <si>
    <t>Recurve Team</t>
  </si>
  <si>
    <t>Compound Team</t>
  </si>
  <si>
    <t>Recurve Mixed</t>
  </si>
  <si>
    <t>Compund Mixed</t>
  </si>
  <si>
    <t xml:space="preserve">50m rifle 3 positions </t>
  </si>
  <si>
    <t>10m air rifle</t>
  </si>
  <si>
    <t>10m air pistol</t>
  </si>
  <si>
    <t>25m rapid fire pístol</t>
  </si>
  <si>
    <t>25m pistol</t>
  </si>
  <si>
    <t>Mixed 10m air rifle</t>
  </si>
  <si>
    <t>Mixed 10m air pistol</t>
  </si>
  <si>
    <t>Mixed Skeet</t>
  </si>
  <si>
    <t>Windsurfing (IQFOIL)</t>
  </si>
  <si>
    <t>Dinghy (Ilca 7)</t>
  </si>
  <si>
    <t>Dinghy (Ilca 6)</t>
  </si>
  <si>
    <t>Sunfish</t>
  </si>
  <si>
    <t>Skiff (49er)</t>
  </si>
  <si>
    <t>Skiff (49er Fx)</t>
  </si>
  <si>
    <t>Mixed Multihull (Nacra 17)</t>
  </si>
  <si>
    <t>Mixed Dinghy (snipe)</t>
  </si>
  <si>
    <t>Mixed Dinghy (lightning)</t>
  </si>
  <si>
    <t>Volleyball</t>
  </si>
  <si>
    <t>Beach Volleyball</t>
  </si>
  <si>
    <t>Male</t>
  </si>
  <si>
    <t>Female</t>
  </si>
  <si>
    <t>Apellido</t>
  </si>
  <si>
    <t>Nombre</t>
  </si>
  <si>
    <t>Evento Deportivo</t>
  </si>
  <si>
    <t>Peso</t>
  </si>
  <si>
    <t>Estatura</t>
  </si>
  <si>
    <t>ID de Federación Internacional</t>
  </si>
  <si>
    <t>Ranking Mundial Individual</t>
  </si>
  <si>
    <t>Ranking Mundial Individual por puntos</t>
  </si>
  <si>
    <t>Ranking Mundial por Equipos</t>
  </si>
  <si>
    <t>Ranking Mundial por Equipos por Puntos</t>
  </si>
  <si>
    <t>Ranking Mundial por Equipos Mixtos</t>
  </si>
  <si>
    <t>Ranking Mundial por Equipos Mixtos por Puntos</t>
  </si>
  <si>
    <t>Mejor marca Personal</t>
  </si>
  <si>
    <t>Torneo en que se logró la Mejor marca Personal</t>
  </si>
  <si>
    <t>Mejor marca de la Temporada</t>
  </si>
  <si>
    <t>Torneo en que se logró la Mejor marca de la Temporada</t>
  </si>
  <si>
    <t>Marca de Casificación</t>
  </si>
  <si>
    <t>Torneo en que se logró la marca de Clasificación</t>
  </si>
  <si>
    <t>Mano preferida / Postura preferida</t>
  </si>
  <si>
    <t>Color uniforme primario</t>
  </si>
  <si>
    <t>Color uniforme secundario</t>
  </si>
  <si>
    <t>Número en uniforme</t>
  </si>
  <si>
    <t>Nombre en uniforme</t>
  </si>
  <si>
    <t>Posición de juego</t>
  </si>
  <si>
    <t>Capitan</t>
  </si>
  <si>
    <t>Nombre de club</t>
  </si>
  <si>
    <t>Liga del Club</t>
  </si>
  <si>
    <t>Participaciones internacionales</t>
  </si>
  <si>
    <t>Goles internacionales convertidos</t>
  </si>
  <si>
    <t>Color tercer uniforme</t>
  </si>
  <si>
    <t>Family Name</t>
  </si>
  <si>
    <t>Given Name</t>
  </si>
  <si>
    <t>Gender</t>
  </si>
  <si>
    <t>Sport Event</t>
  </si>
  <si>
    <t>Weight</t>
  </si>
  <si>
    <t>Height</t>
  </si>
  <si>
    <t>FI ID Number</t>
  </si>
  <si>
    <t>World Rnk. Individual</t>
  </si>
  <si>
    <t>World Rnk. Individual Points</t>
  </si>
  <si>
    <t>World Rnk. Team</t>
  </si>
  <si>
    <t>World Rnk. Team Points</t>
  </si>
  <si>
    <t>World Rnk. Mixed Team</t>
  </si>
  <si>
    <t>World Rnk. Mixed Team Points</t>
  </si>
  <si>
    <t>Personal Best</t>
  </si>
  <si>
    <t>Personal Best Championship</t>
  </si>
  <si>
    <t>Season Best</t>
  </si>
  <si>
    <t>Season Best Championship</t>
  </si>
  <si>
    <t>Qualification Mark</t>
  </si>
  <si>
    <t>Qualification Mark Championship</t>
  </si>
  <si>
    <t>Preferred Hand/ Preferred Foot / Stance</t>
  </si>
  <si>
    <t>Uniform 1 Color</t>
  </si>
  <si>
    <t>Uniform 2 Color</t>
  </si>
  <si>
    <t>Uniform Number</t>
  </si>
  <si>
    <t>Uniform Name</t>
  </si>
  <si>
    <t>Playing Position</t>
  </si>
  <si>
    <t>Captain</t>
  </si>
  <si>
    <t>Club Name</t>
  </si>
  <si>
    <t>Club League</t>
  </si>
  <si>
    <t>International Games Played</t>
  </si>
  <si>
    <t>International Goals Scored</t>
  </si>
  <si>
    <t>Uniform 3 Color</t>
  </si>
  <si>
    <t>Tiro con Arco</t>
  </si>
  <si>
    <t>Patinaje Artístico</t>
  </si>
  <si>
    <t>Atletísmo</t>
  </si>
  <si>
    <t>Bádminton</t>
  </si>
  <si>
    <t>Boxeo</t>
  </si>
  <si>
    <t>Bowling</t>
  </si>
  <si>
    <t>Escalada Deportiva</t>
  </si>
  <si>
    <t>Ciclismo de Ruta</t>
  </si>
  <si>
    <t>Canotaje Slalom</t>
  </si>
  <si>
    <t>Canotaje Velocidad</t>
  </si>
  <si>
    <t>Ciclismo de Pista</t>
  </si>
  <si>
    <t>Clavados</t>
  </si>
  <si>
    <t>Ecuestres</t>
  </si>
  <si>
    <t>Esgrima</t>
  </si>
  <si>
    <t>Gimnasia Artística</t>
  </si>
  <si>
    <t>Gimnasia Rítmica</t>
  </si>
  <si>
    <t>Gimnasia Trampolín</t>
  </si>
  <si>
    <t>Judo</t>
  </si>
  <si>
    <t>Karate</t>
  </si>
  <si>
    <t>Pentatlón Moderno</t>
  </si>
  <si>
    <t>Ciclismo de Montaña</t>
  </si>
  <si>
    <t>Nado Aguas Abiertas</t>
  </si>
  <si>
    <t>Pelota Vasca</t>
  </si>
  <si>
    <t>Remo</t>
  </si>
  <si>
    <t>Ráquetbol</t>
  </si>
  <si>
    <t>Vela</t>
  </si>
  <si>
    <t>Tiro</t>
  </si>
  <si>
    <t>Skateboarding</t>
  </si>
  <si>
    <t>Squash</t>
  </si>
  <si>
    <t>Surf</t>
  </si>
  <si>
    <t>Patinaje Velocidad</t>
  </si>
  <si>
    <t>Natación Artística</t>
  </si>
  <si>
    <t>Natación</t>
  </si>
  <si>
    <t>Tenis</t>
  </si>
  <si>
    <t>Taekwondo</t>
  </si>
  <si>
    <t>Triatlón</t>
  </si>
  <si>
    <t>Tenis de Mesa</t>
  </si>
  <si>
    <t>Levantamiento de Pesas</t>
  </si>
  <si>
    <t>Polo Acuatico</t>
  </si>
  <si>
    <t>Lucha</t>
  </si>
  <si>
    <t>Esquí Acuático</t>
  </si>
  <si>
    <t>Datos Específicos para Sport Entries</t>
  </si>
  <si>
    <t>Datos del Atleta</t>
  </si>
  <si>
    <t>Archery</t>
  </si>
  <si>
    <t>Artistic Skating</t>
  </si>
  <si>
    <t>Athletics</t>
  </si>
  <si>
    <t>Badminton</t>
  </si>
  <si>
    <t>Boxing</t>
  </si>
  <si>
    <t>Sport Climbing</t>
  </si>
  <si>
    <t>Road Cycling</t>
  </si>
  <si>
    <t>Canoe Slalom</t>
  </si>
  <si>
    <t>Canoe Sprint</t>
  </si>
  <si>
    <t>Track Cycling</t>
  </si>
  <si>
    <t>Diving</t>
  </si>
  <si>
    <t>Equestrian</t>
  </si>
  <si>
    <t>Fencing</t>
  </si>
  <si>
    <t>Artistic Gymnastics</t>
  </si>
  <si>
    <t>Ryhtmic Gymnastics</t>
  </si>
  <si>
    <t>Trampoline Gymnastics</t>
  </si>
  <si>
    <t>Modern Pentathlon</t>
  </si>
  <si>
    <t>Mountain Bike</t>
  </si>
  <si>
    <t>Basque Pelota</t>
  </si>
  <si>
    <t>Rowing</t>
  </si>
  <si>
    <t>Racquetball</t>
  </si>
  <si>
    <t>Sailing</t>
  </si>
  <si>
    <t>Shooting</t>
  </si>
  <si>
    <t>Surfing</t>
  </si>
  <si>
    <t>Speed Skating</t>
  </si>
  <si>
    <t>Artistic Swimming</t>
  </si>
  <si>
    <t>Swimming</t>
  </si>
  <si>
    <t>Tennis</t>
  </si>
  <si>
    <t>Triathlon</t>
  </si>
  <si>
    <t>Table Tennis</t>
  </si>
  <si>
    <t>Weightlifting</t>
  </si>
  <si>
    <t>Wrestling</t>
  </si>
  <si>
    <t>Water Ski</t>
  </si>
  <si>
    <t>Sport Entries Form</t>
  </si>
  <si>
    <t>Athlete's Data</t>
  </si>
  <si>
    <t xml:space="preserve">#
</t>
  </si>
  <si>
    <t>ARC</t>
  </si>
  <si>
    <t>ARS</t>
  </si>
  <si>
    <t>ATH</t>
  </si>
  <si>
    <t>BBL</t>
  </si>
  <si>
    <t>BDM</t>
  </si>
  <si>
    <t>BK3</t>
  </si>
  <si>
    <t>BKB</t>
  </si>
  <si>
    <t>BKG</t>
  </si>
  <si>
    <t>BMX</t>
  </si>
  <si>
    <t>BOX</t>
  </si>
  <si>
    <t>BWL</t>
  </si>
  <si>
    <t>CLB</t>
  </si>
  <si>
    <t>CRD</t>
  </si>
  <si>
    <t>CSL</t>
  </si>
  <si>
    <t>CSP</t>
  </si>
  <si>
    <t>CTR</t>
  </si>
  <si>
    <t>DIV</t>
  </si>
  <si>
    <t>EQU</t>
  </si>
  <si>
    <t>FBL</t>
  </si>
  <si>
    <t>FEN</t>
  </si>
  <si>
    <t>GAR</t>
  </si>
  <si>
    <t>GLF</t>
  </si>
  <si>
    <t>GRY</t>
  </si>
  <si>
    <t>GTR</t>
  </si>
  <si>
    <t>HBL</t>
  </si>
  <si>
    <t>HOC</t>
  </si>
  <si>
    <t>JUD</t>
  </si>
  <si>
    <t>KTE</t>
  </si>
  <si>
    <t>MPN</t>
  </si>
  <si>
    <t>MTB</t>
  </si>
  <si>
    <t>OWS</t>
  </si>
  <si>
    <t>PEL</t>
  </si>
  <si>
    <t>ROW</t>
  </si>
  <si>
    <t>RQL</t>
  </si>
  <si>
    <t>RUG</t>
  </si>
  <si>
    <t>SAL</t>
  </si>
  <si>
    <t>SBL</t>
  </si>
  <si>
    <t>SHO</t>
  </si>
  <si>
    <t>SKB</t>
  </si>
  <si>
    <t>SQU</t>
  </si>
  <si>
    <t>SRF</t>
  </si>
  <si>
    <t>SSK</t>
  </si>
  <si>
    <t>SWA</t>
  </si>
  <si>
    <t>SWM</t>
  </si>
  <si>
    <t>TEN</t>
  </si>
  <si>
    <t>TKW</t>
  </si>
  <si>
    <t>TRI</t>
  </si>
  <si>
    <t>TTE</t>
  </si>
  <si>
    <t>VBV</t>
  </si>
  <si>
    <t>VVO</t>
  </si>
  <si>
    <t>WLF</t>
  </si>
  <si>
    <t>WPO</t>
  </si>
  <si>
    <t>WRE</t>
  </si>
  <si>
    <t>WSK</t>
  </si>
  <si>
    <t>GENERO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</si>
</sst>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7">
    <font>
      <sz val="10.0"/>
      <color rgb="FF000000"/>
      <name val="Arial"/>
      <scheme val="minor"/>
    </font>
    <font>
      <sz val="10.0"/>
      <color theme="1"/>
      <name val="Calibri"/>
    </font>
    <font>
      <u/>
      <sz val="10.0"/>
      <color theme="10"/>
      <name val="Calibri"/>
    </font>
    <font>
      <color theme="1"/>
      <name val="Arial"/>
      <scheme val="minor"/>
    </font>
    <font>
      <sz val="10.0"/>
      <color rgb="FF202B5A"/>
      <name val="Calibri"/>
    </font>
    <font>
      <u/>
      <sz val="10.0"/>
      <color rgb="FF202B5A"/>
      <name val="Calibri"/>
    </font>
    <font>
      <b/>
      <sz val="16.0"/>
      <color rgb="FF0074FF"/>
      <name val="Calibri"/>
    </font>
    <font>
      <b/>
      <sz val="14.0"/>
      <color rgb="FF202B5A"/>
      <name val="Calibri"/>
    </font>
    <font>
      <b/>
      <sz val="10.0"/>
      <color rgb="FFFF0000"/>
      <name val="Calibri"/>
    </font>
    <font>
      <b/>
      <sz val="24.0"/>
      <color rgb="FF0074FF"/>
      <name val="Calibri"/>
    </font>
    <font>
      <b/>
      <sz val="22.0"/>
      <color rgb="FF202B5A"/>
      <name val="Calibri"/>
    </font>
    <font/>
    <font>
      <b/>
      <sz val="12.0"/>
      <color rgb="FF202B5A"/>
      <name val="Calibri"/>
    </font>
    <font>
      <sz val="10.0"/>
      <color theme="1"/>
      <name val="Arial"/>
    </font>
    <font>
      <sz val="11.0"/>
      <color theme="1"/>
      <name val="Arial Narrow"/>
    </font>
    <font>
      <b/>
      <sz val="10.0"/>
      <color theme="0"/>
      <name val="Calibri"/>
    </font>
    <font>
      <sz val="10.0"/>
      <color rgb="FFFF0000"/>
      <name val="Calibri"/>
    </font>
  </fonts>
  <fills count="6">
    <fill>
      <patternFill patternType="none"/>
    </fill>
    <fill>
      <patternFill patternType="lightGray"/>
    </fill>
    <fill>
      <patternFill patternType="solid">
        <fgColor rgb="FFD2F0FE"/>
        <bgColor rgb="FFD2F0FE"/>
      </patternFill>
    </fill>
    <fill>
      <patternFill patternType="solid">
        <fgColor rgb="FFFE4F3A"/>
        <bgColor rgb="FFFE4F3A"/>
      </patternFill>
    </fill>
    <fill>
      <patternFill patternType="solid">
        <fgColor rgb="FF0074FF"/>
        <bgColor rgb="FF0074FF"/>
      </patternFill>
    </fill>
    <fill>
      <patternFill patternType="solid">
        <fgColor rgb="FFE9ECF7"/>
        <bgColor rgb="FFE9ECF7"/>
      </patternFill>
    </fill>
  </fills>
  <borders count="3">
    <border/>
    <border>
      <bottom style="thick">
        <color rgb="FF0074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36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vertical="center"/>
    </xf>
    <xf borderId="0" fillId="0" fontId="2" numFmtId="0" xfId="0" applyAlignment="1" applyFont="1">
      <alignment horizontal="left" vertical="center"/>
    </xf>
    <xf borderId="0" fillId="0" fontId="1" numFmtId="0" xfId="0" applyAlignment="1" applyFont="1">
      <alignment horizontal="left" vertical="center"/>
    </xf>
    <xf borderId="0" fillId="0" fontId="1" numFmtId="0" xfId="0" applyAlignment="1" applyFont="1">
      <alignment horizontal="center" vertical="center"/>
    </xf>
    <xf borderId="0" fillId="0" fontId="3" numFmtId="0" xfId="0" applyFont="1"/>
    <xf borderId="0" fillId="0" fontId="1" numFmtId="0" xfId="0" applyAlignment="1" applyFont="1">
      <alignment readingOrder="0" vertical="center"/>
    </xf>
    <xf borderId="0" fillId="0" fontId="3" numFmtId="0" xfId="0" applyAlignment="1" applyFont="1">
      <alignment readingOrder="0"/>
    </xf>
    <xf borderId="0" fillId="0" fontId="4" numFmtId="0" xfId="0" applyAlignment="1" applyFont="1">
      <alignment vertical="center"/>
    </xf>
    <xf borderId="0" fillId="0" fontId="5" numFmtId="0" xfId="0" applyAlignment="1" applyFont="1">
      <alignment horizontal="left" vertical="center"/>
    </xf>
    <xf borderId="0" fillId="0" fontId="4" numFmtId="0" xfId="0" applyAlignment="1" applyFont="1">
      <alignment horizontal="left" vertical="center"/>
    </xf>
    <xf borderId="0" fillId="0" fontId="4" numFmtId="0" xfId="0" applyAlignment="1" applyFont="1">
      <alignment horizontal="center" vertical="center"/>
    </xf>
    <xf borderId="0" fillId="0" fontId="4" numFmtId="0" xfId="0" applyAlignment="1" applyFont="1">
      <alignment readingOrder="0" vertical="center"/>
    </xf>
    <xf borderId="0" fillId="0" fontId="6" numFmtId="0" xfId="0" applyAlignment="1" applyFont="1">
      <alignment horizontal="left" shrinkToFit="0" vertical="center" wrapText="0"/>
    </xf>
    <xf borderId="0" fillId="0" fontId="7" numFmtId="0" xfId="0" applyAlignment="1" applyFont="1">
      <alignment vertical="center"/>
    </xf>
    <xf borderId="0" fillId="0" fontId="8" numFmtId="0" xfId="0" applyAlignment="1" applyFont="1">
      <alignment horizontal="left"/>
    </xf>
    <xf borderId="0" fillId="0" fontId="9" numFmtId="0" xfId="0" applyAlignment="1" applyFont="1">
      <alignment horizontal="left" vertical="center"/>
    </xf>
    <xf borderId="0" fillId="0" fontId="10" numFmtId="0" xfId="0" applyAlignment="1" applyFont="1">
      <alignment vertical="center"/>
    </xf>
    <xf borderId="1" fillId="0" fontId="11" numFmtId="0" xfId="0" applyBorder="1" applyFont="1"/>
    <xf borderId="0" fillId="0" fontId="12" numFmtId="0" xfId="0" applyAlignment="1" applyFont="1">
      <alignment vertical="top"/>
    </xf>
    <xf borderId="0" fillId="0" fontId="12" numFmtId="0" xfId="0" applyAlignment="1" applyFont="1">
      <alignment vertical="center"/>
    </xf>
    <xf borderId="0" fillId="0" fontId="13" numFmtId="0" xfId="0" applyFont="1"/>
    <xf borderId="2" fillId="2" fontId="14" numFmtId="0" xfId="0" applyAlignment="1" applyBorder="1" applyFill="1" applyFont="1">
      <alignment horizontal="center" readingOrder="0" vertical="center"/>
    </xf>
    <xf borderId="2" fillId="3" fontId="15" numFmtId="0" xfId="0" applyAlignment="1" applyBorder="1" applyFill="1" applyFont="1">
      <alignment horizontal="center" shrinkToFit="0" wrapText="1"/>
    </xf>
    <xf borderId="2" fillId="3" fontId="15" numFmtId="0" xfId="0" applyAlignment="1" applyBorder="1" applyFont="1">
      <alignment horizontal="center" shrinkToFit="0" vertical="center" wrapText="1"/>
    </xf>
    <xf borderId="2" fillId="4" fontId="15" numFmtId="0" xfId="0" applyAlignment="1" applyBorder="1" applyFill="1" applyFont="1">
      <alignment horizontal="center" shrinkToFit="0" vertical="center" wrapText="1"/>
    </xf>
    <xf borderId="0" fillId="0" fontId="16" numFmtId="0" xfId="0" applyAlignment="1" applyFont="1">
      <alignment vertical="center"/>
    </xf>
    <xf borderId="2" fillId="0" fontId="1" numFmtId="0" xfId="0" applyAlignment="1" applyBorder="1" applyFont="1">
      <alignment horizontal="center" vertical="center"/>
    </xf>
    <xf borderId="2" fillId="0" fontId="8" numFmtId="0" xfId="0" applyAlignment="1" applyBorder="1" applyFont="1">
      <alignment horizontal="left" vertical="center"/>
    </xf>
    <xf borderId="2" fillId="0" fontId="8" numFmtId="0" xfId="0" applyAlignment="1" applyBorder="1" applyFont="1">
      <alignment horizontal="center" readingOrder="0" vertical="center"/>
    </xf>
    <xf borderId="2" fillId="0" fontId="8" numFmtId="0" xfId="0" applyAlignment="1" applyBorder="1" applyFont="1">
      <alignment horizontal="center" vertical="center"/>
    </xf>
    <xf borderId="2" fillId="5" fontId="1" numFmtId="0" xfId="0" applyAlignment="1" applyBorder="1" applyFill="1" applyFont="1">
      <alignment horizontal="center" vertical="center"/>
    </xf>
    <xf borderId="2" fillId="5" fontId="4" numFmtId="0" xfId="0" applyAlignment="1" applyBorder="1" applyFont="1">
      <alignment horizontal="left" vertical="center"/>
    </xf>
    <xf borderId="2" fillId="5" fontId="4" numFmtId="0" xfId="0" applyAlignment="1" applyBorder="1" applyFont="1">
      <alignment horizontal="center" vertical="center"/>
    </xf>
    <xf borderId="2" fillId="0" fontId="4" numFmtId="0" xfId="0" applyAlignment="1" applyBorder="1" applyFont="1">
      <alignment horizontal="left" vertical="center"/>
    </xf>
    <xf borderId="2" fillId="0" fontId="4" numFmtId="0" xfId="0" applyAlignment="1" applyBorder="1" applyFont="1">
      <alignment horizontal="center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3.jpg"/><Relationship Id="rId3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9</xdr:col>
      <xdr:colOff>209550</xdr:colOff>
      <xdr:row>0</xdr:row>
      <xdr:rowOff>0</xdr:rowOff>
    </xdr:from>
    <xdr:ext cx="1905000" cy="1266825"/>
    <xdr:grpSp>
      <xdr:nvGrpSpPr>
        <xdr:cNvPr id="2" name="Shape 2" title="Drawing"/>
        <xdr:cNvGrpSpPr/>
      </xdr:nvGrpSpPr>
      <xdr:grpSpPr>
        <a:xfrm>
          <a:off x="4393500" y="3146588"/>
          <a:ext cx="1905000" cy="1266825"/>
          <a:chOff x="4393500" y="3146588"/>
          <a:chExt cx="1905000" cy="1266825"/>
        </a:xfrm>
      </xdr:grpSpPr>
      <xdr:grpSp>
        <xdr:nvGrpSpPr>
          <xdr:cNvPr id="3" name="Shape 3" title="Dibujo"/>
          <xdr:cNvGrpSpPr/>
        </xdr:nvGrpSpPr>
        <xdr:grpSpPr>
          <a:xfrm>
            <a:off x="4393500" y="3146588"/>
            <a:ext cx="1905000" cy="1266825"/>
            <a:chOff x="4393500" y="3146588"/>
            <a:chExt cx="1905000" cy="1266825"/>
          </a:xfrm>
        </xdr:grpSpPr>
        <xdr:sp>
          <xdr:nvSpPr>
            <xdr:cNvPr id="4" name="Shape 4"/>
            <xdr:cNvSpPr/>
          </xdr:nvSpPr>
          <xdr:spPr>
            <a:xfrm>
              <a:off x="4393500" y="3146588"/>
              <a:ext cx="1905000" cy="1266825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grpSp>
          <xdr:nvGrpSpPr>
            <xdr:cNvPr id="5" name="Shape 5"/>
            <xdr:cNvGrpSpPr/>
          </xdr:nvGrpSpPr>
          <xdr:grpSpPr>
            <a:xfrm>
              <a:off x="4393500" y="3146588"/>
              <a:ext cx="1905000" cy="1266825"/>
              <a:chOff x="10561320" y="0"/>
              <a:chExt cx="2132896" cy="1404225"/>
            </a:xfrm>
          </xdr:grpSpPr>
          <xdr:sp>
            <xdr:nvSpPr>
              <xdr:cNvPr id="6" name="Shape 6"/>
              <xdr:cNvSpPr/>
            </xdr:nvSpPr>
            <xdr:spPr>
              <a:xfrm>
                <a:off x="10561320" y="0"/>
                <a:ext cx="2132875" cy="140422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anchorCtr="0" anchor="ctr" bIns="91425" lIns="91425" spcFirstLastPara="1" rIns="91425" wrap="square" tIns="91425">
                <a:noAutofit/>
              </a:bodyPr>
              <a:lstStyle/>
              <a:p>
                <a:pPr indent="0" lvl="0" marL="0" rtl="0" algn="l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r>
                  <a:t/>
                </a:r>
                <a:endParaRPr sz="1400"/>
              </a:p>
            </xdr:txBody>
          </xdr:sp>
          <xdr:pic>
            <xdr:nvPicPr>
              <xdr:cNvPr id="7" name="Shape 7"/>
              <xdr:cNvPicPr preferRelativeResize="0"/>
            </xdr:nvPicPr>
            <xdr:blipFill rotWithShape="1">
              <a:blip r:embed="rId1">
                <a:alphaModFix/>
              </a:blip>
              <a:srcRect b="0" l="0" r="0" t="0"/>
              <a:stretch/>
            </xdr:blipFill>
            <xdr:spPr>
              <a:xfrm>
                <a:off x="10561320" y="0"/>
                <a:ext cx="1440180" cy="140422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id="8" name="Shape 8"/>
              <xdr:cNvPicPr preferRelativeResize="0"/>
            </xdr:nvPicPr>
            <xdr:blipFill rotWithShape="1">
              <a:blip r:embed="rId2">
                <a:alphaModFix/>
              </a:blip>
              <a:srcRect b="0" l="0" r="0" t="0"/>
              <a:stretch/>
            </xdr:blipFill>
            <xdr:spPr>
              <a:xfrm>
                <a:off x="11986964" y="228600"/>
                <a:ext cx="707252" cy="922020"/>
              </a:xfrm>
              <a:prstGeom prst="rect">
                <a:avLst/>
              </a:prstGeom>
              <a:noFill/>
              <a:ln>
                <a:noFill/>
              </a:ln>
            </xdr:spPr>
          </xdr:pic>
        </xdr:grpSp>
      </xdr:grpSp>
    </xdr:grpSp>
    <xdr:clientData fLocksWithSheet="0"/>
  </xdr:oneCellAnchor>
  <xdr:oneCellAnchor>
    <xdr:from>
      <xdr:col>0</xdr:col>
      <xdr:colOff>104775</xdr:colOff>
      <xdr:row>0</xdr:row>
      <xdr:rowOff>171450</xdr:rowOff>
    </xdr:from>
    <xdr:ext cx="981075" cy="1019175"/>
    <xdr:pic>
      <xdr:nvPicPr>
        <xdr:cNvPr id="0" name="image1.png" title="Imagen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2.63" defaultRowHeight="15.75"/>
  <cols>
    <col customWidth="1" min="1" max="1" width="1.38"/>
    <col customWidth="1" min="2" max="2" width="3.88"/>
    <col customWidth="1" min="3" max="3" width="16.13"/>
    <col customWidth="1" min="4" max="4" width="40.63"/>
    <col customWidth="1" min="5" max="5" width="7.75"/>
    <col customWidth="1" min="6" max="6" width="10.63"/>
    <col customWidth="1" min="7" max="7" width="12.75"/>
    <col customWidth="1" min="8" max="8" width="13.13"/>
    <col customWidth="1" min="9" max="9" width="15.38"/>
    <col customWidth="1" min="10" max="11" width="14.88"/>
    <col customWidth="1" min="12" max="12" width="17.25"/>
    <col customWidth="1" hidden="1" min="13" max="13" width="14.63"/>
    <col customWidth="1" hidden="1" min="14" max="14" width="13.75"/>
    <col customWidth="1" hidden="1" min="15" max="21" width="7.38"/>
    <col customWidth="1" hidden="1" min="22" max="23" width="18.75"/>
    <col customWidth="1" hidden="1" min="24" max="24" width="20.25"/>
    <col customWidth="1" hidden="1" min="25" max="25" width="22.63"/>
    <col customWidth="1" hidden="1" min="26" max="26" width="23.75"/>
    <col customWidth="1" hidden="1" min="27" max="38" width="14.13"/>
    <col customWidth="1" hidden="1" min="39" max="40" width="21.25"/>
    <col customWidth="1" hidden="1" min="41" max="42" width="19.13"/>
    <col customWidth="1" hidden="1" min="43" max="43" width="21.0"/>
    <col customWidth="1" hidden="1" min="44" max="44" width="24.0"/>
    <col customWidth="1" hidden="1" min="45" max="45" width="25.5"/>
    <col customWidth="1" hidden="1" min="46" max="47" width="20.13"/>
    <col customWidth="1" hidden="1" min="48" max="48" width="17.38"/>
    <col customWidth="1" hidden="1" min="49" max="49" width="18.25"/>
    <col customWidth="1" hidden="1" min="50" max="56" width="13.63"/>
    <col customWidth="1" hidden="1" min="57" max="57" width="14.0"/>
    <col customWidth="1" hidden="1" min="58" max="58" width="13.63"/>
    <col customWidth="1" hidden="1" min="59" max="59" width="16.25"/>
    <col customWidth="1" hidden="1" min="60" max="62" width="13.63"/>
    <col customWidth="1" hidden="1" min="63" max="63" width="14.0"/>
    <col customWidth="1" hidden="1" min="64" max="64" width="13.63"/>
    <col customWidth="1" hidden="1" min="65" max="65" width="14.13"/>
    <col customWidth="1" hidden="1" min="66" max="66" width="16.63"/>
    <col customWidth="1" hidden="1" min="67" max="67" width="17.5"/>
    <col customWidth="1" hidden="1" min="68" max="68" width="19.5"/>
    <col customWidth="1" hidden="1" min="69" max="69" width="18.75"/>
    <col customWidth="1" hidden="1" min="70" max="73" width="13.63"/>
    <col customWidth="1" hidden="1" min="74" max="74" width="16.0"/>
    <col customWidth="1" hidden="1" min="75" max="75" width="13.63"/>
    <col customWidth="1" hidden="1" min="76" max="78" width="15.38"/>
    <col customWidth="1" hidden="1" min="79" max="79" width="14.88"/>
    <col customWidth="1" hidden="1" min="80" max="80" width="17.88"/>
    <col customWidth="1" hidden="1" min="81" max="81" width="14.88"/>
    <col customWidth="1" hidden="1" min="82" max="82" width="11.63"/>
    <col customWidth="1" hidden="1" min="83" max="83" width="11.38"/>
    <col customWidth="1" hidden="1" min="84" max="85" width="12.88"/>
    <col customWidth="1" hidden="1" min="86" max="98" width="11.13"/>
    <col customWidth="1" hidden="1" min="99" max="99" width="13.0"/>
    <col customWidth="1" hidden="1" min="100" max="109" width="21.5"/>
    <col customWidth="1" hidden="1" min="110" max="112" width="19.13"/>
    <col customWidth="1" hidden="1" min="113" max="113" width="25.13"/>
    <col customWidth="1" hidden="1" min="114" max="114" width="23.38"/>
    <col customWidth="1" hidden="1" min="115" max="115" width="25.38"/>
    <col customWidth="1" hidden="1" min="116" max="117" width="17.63"/>
    <col customWidth="1" hidden="1" min="118" max="123" width="17.5"/>
    <col customWidth="1" hidden="1" min="124" max="125" width="25.75"/>
    <col customWidth="1" hidden="1" min="126" max="127" width="26.88"/>
    <col customWidth="1" hidden="1" min="128" max="129" width="17.38"/>
    <col customWidth="1" hidden="1" min="130" max="131" width="20.38"/>
    <col customWidth="1" hidden="1" min="132" max="132" width="14.13"/>
    <col customWidth="1" hidden="1" min="133" max="133" width="13.75"/>
    <col customWidth="1" hidden="1" min="134" max="134" width="13.0"/>
    <col customWidth="1" hidden="1" min="135" max="135" width="13.13"/>
    <col customWidth="1" hidden="1" min="136" max="136" width="12.63"/>
    <col customWidth="1" hidden="1" min="137" max="137" width="12.25"/>
    <col customWidth="1" hidden="1" min="138" max="142" width="17.75"/>
    <col customWidth="1" hidden="1" min="143" max="143" width="10.88"/>
    <col customWidth="1" hidden="1" min="144" max="153" width="21.13"/>
    <col customWidth="1" hidden="1" min="154" max="161" width="20.38"/>
    <col customWidth="1" hidden="1" min="162" max="163" width="22.25"/>
    <col customWidth="1" hidden="1" min="164" max="164" width="9.38"/>
    <col customWidth="1" hidden="1" min="165" max="165" width="18.13"/>
    <col customWidth="1" hidden="1" min="166" max="179" width="9.88"/>
    <col customWidth="1" hidden="1" min="180" max="180" width="11.13"/>
    <col customWidth="1" hidden="1" min="181" max="184" width="11.5"/>
    <col customWidth="1" hidden="1" min="185" max="185" width="12.0"/>
    <col customWidth="1" hidden="1" min="186" max="188" width="11.5"/>
    <col customWidth="1" hidden="1" min="189" max="190" width="12.0"/>
    <col customWidth="1" hidden="1" min="191" max="191" width="11.0"/>
    <col customWidth="1" hidden="1" min="192" max="201" width="24.63"/>
    <col customWidth="1" hidden="1" min="202" max="206" width="16.0"/>
    <col customWidth="1" hidden="1" min="207" max="207" width="16.88"/>
    <col customWidth="1" hidden="1" min="208" max="212" width="14.5"/>
    <col customWidth="1" hidden="1" min="213" max="213" width="15.5"/>
    <col customWidth="1" hidden="1" min="214" max="219" width="14.13"/>
    <col customWidth="1" hidden="1" min="220" max="220" width="19.0"/>
    <col customWidth="1" hidden="1" min="221" max="224" width="19.75"/>
    <col customWidth="1" hidden="1" min="225" max="226" width="17.0"/>
    <col customWidth="1" hidden="1" min="227" max="227" width="24.88"/>
    <col customWidth="1" hidden="1" min="228" max="228" width="26.63"/>
    <col customWidth="1" hidden="1" min="229" max="229" width="21.5"/>
    <col customWidth="1" hidden="1" min="230" max="230" width="15.38"/>
    <col customWidth="1" hidden="1" min="231" max="233" width="21.75"/>
    <col customWidth="1" hidden="1" min="234" max="237" width="14.13"/>
    <col customWidth="1" hidden="1" min="238" max="250" width="11.63"/>
    <col customWidth="1" hidden="1" min="251" max="251" width="12.75"/>
    <col customWidth="1" hidden="1" min="252" max="255" width="12.13"/>
    <col customWidth="1" hidden="1" min="256" max="259" width="9.25"/>
    <col customWidth="1" hidden="1" min="260" max="267" width="15.5"/>
    <col customWidth="1" hidden="1" min="268" max="268" width="24.13"/>
    <col customWidth="1" hidden="1" min="269" max="269" width="19.63"/>
    <col customWidth="1" hidden="1" min="270" max="271" width="10.25"/>
    <col customWidth="1" hidden="1" min="272" max="272" width="11.75"/>
    <col customWidth="1" hidden="1" min="273" max="276" width="16.75"/>
    <col customWidth="1" hidden="1" min="277" max="277" width="15.25"/>
    <col customWidth="1" hidden="1" min="278" max="278" width="17.0"/>
    <col customWidth="1" hidden="1" min="279" max="280" width="15.25"/>
    <col customWidth="1" hidden="1" min="281" max="281" width="17.25"/>
    <col customWidth="1" hidden="1" min="282" max="282" width="19.63"/>
    <col customWidth="1" hidden="1" min="283" max="283" width="18.0"/>
    <col customWidth="1" hidden="1" min="284" max="284" width="14.0"/>
    <col customWidth="1" hidden="1" min="285" max="285" width="15.75"/>
    <col customWidth="1" hidden="1" min="286" max="286" width="23.25"/>
    <col customWidth="1" hidden="1" min="287" max="287" width="17.25"/>
    <col customWidth="1" hidden="1" min="288" max="289" width="9.63"/>
    <col customWidth="1" hidden="1" min="290" max="290" width="18.5"/>
    <col customWidth="1" hidden="1" min="291" max="291" width="20.13"/>
    <col customWidth="1" hidden="1" min="292" max="292" width="10.13"/>
    <col customWidth="1" hidden="1" min="293" max="293" width="11.5"/>
    <col customWidth="1" hidden="1" min="294" max="294" width="12.25"/>
    <col customWidth="1" hidden="1" min="295" max="295" width="16.88"/>
    <col customWidth="1" hidden="1" min="296" max="297" width="11.75"/>
    <col customWidth="1" hidden="1" min="298" max="298" width="11.5"/>
    <col customWidth="1" hidden="1" min="299" max="299" width="9.38"/>
    <col customWidth="1" hidden="1" min="300" max="300" width="11.63"/>
    <col customWidth="1" hidden="1" min="301" max="301" width="14.38"/>
    <col customWidth="1" hidden="1" min="302" max="302" width="22.0"/>
    <col customWidth="1" hidden="1" min="303" max="303" width="16.63"/>
    <col customWidth="1" hidden="1" min="304" max="304" width="18.88"/>
    <col customWidth="1" hidden="1" min="305" max="305" width="12.88"/>
    <col customWidth="1" hidden="1" min="306" max="308" width="16.88"/>
  </cols>
  <sheetData>
    <row r="1" ht="13.5" customHeight="1">
      <c r="A1" s="1"/>
      <c r="B1" s="2"/>
      <c r="D1" s="1"/>
      <c r="E1" s="3"/>
      <c r="F1" s="3"/>
      <c r="G1" s="3"/>
      <c r="H1" s="3"/>
      <c r="I1" s="4"/>
      <c r="J1" s="5"/>
      <c r="K1" s="5"/>
      <c r="L1" s="5"/>
      <c r="M1" s="5"/>
      <c r="N1" s="5"/>
      <c r="O1" s="5"/>
      <c r="P1" s="5"/>
      <c r="Q1" s="1"/>
      <c r="R1" s="1"/>
      <c r="S1" s="1"/>
      <c r="T1" s="1"/>
      <c r="U1" s="6">
        <v>1.0</v>
      </c>
      <c r="V1" s="7">
        <v>2.0</v>
      </c>
      <c r="W1" s="7">
        <v>3.0</v>
      </c>
      <c r="X1" s="6">
        <v>4.0</v>
      </c>
      <c r="Y1" s="7">
        <v>5.0</v>
      </c>
      <c r="Z1" s="7">
        <v>6.0</v>
      </c>
      <c r="AA1" s="6">
        <v>7.0</v>
      </c>
      <c r="AB1" s="7">
        <v>8.0</v>
      </c>
      <c r="AC1" s="7">
        <v>9.0</v>
      </c>
      <c r="AD1" s="6">
        <v>10.0</v>
      </c>
      <c r="AE1" s="7">
        <v>11.0</v>
      </c>
      <c r="AF1" s="7">
        <v>12.0</v>
      </c>
      <c r="AG1" s="6">
        <v>13.0</v>
      </c>
      <c r="AH1" s="7">
        <v>14.0</v>
      </c>
      <c r="AI1" s="7">
        <v>15.0</v>
      </c>
      <c r="AJ1" s="6">
        <v>16.0</v>
      </c>
      <c r="AK1" s="7">
        <v>17.0</v>
      </c>
      <c r="AL1" s="7">
        <v>18.0</v>
      </c>
      <c r="AM1" s="6">
        <v>19.0</v>
      </c>
      <c r="AN1" s="7">
        <v>20.0</v>
      </c>
      <c r="AO1" s="7">
        <v>21.0</v>
      </c>
      <c r="AP1" s="6">
        <v>22.0</v>
      </c>
      <c r="AQ1" s="7">
        <v>23.0</v>
      </c>
      <c r="AR1" s="7">
        <v>24.0</v>
      </c>
      <c r="AS1" s="6">
        <v>25.0</v>
      </c>
      <c r="AT1" s="7">
        <v>26.0</v>
      </c>
      <c r="AU1" s="7">
        <v>27.0</v>
      </c>
      <c r="AV1" s="6">
        <v>28.0</v>
      </c>
      <c r="AW1" s="7">
        <v>29.0</v>
      </c>
      <c r="AX1" s="7">
        <v>30.0</v>
      </c>
      <c r="AY1" s="6">
        <v>31.0</v>
      </c>
      <c r="AZ1" s="7">
        <v>32.0</v>
      </c>
      <c r="BA1" s="7">
        <v>33.0</v>
      </c>
      <c r="BB1" s="6">
        <v>34.0</v>
      </c>
      <c r="BC1" s="7">
        <v>35.0</v>
      </c>
      <c r="BD1" s="7">
        <v>36.0</v>
      </c>
      <c r="BE1" s="6">
        <v>37.0</v>
      </c>
      <c r="BF1" s="7">
        <v>38.0</v>
      </c>
      <c r="BG1" s="7">
        <v>39.0</v>
      </c>
      <c r="BH1" s="6">
        <v>40.0</v>
      </c>
      <c r="BI1" s="7">
        <v>41.0</v>
      </c>
      <c r="BJ1" s="7">
        <v>42.0</v>
      </c>
      <c r="BK1" s="6">
        <v>43.0</v>
      </c>
      <c r="BL1" s="7">
        <v>44.0</v>
      </c>
      <c r="BM1" s="7">
        <v>45.0</v>
      </c>
      <c r="BN1" s="6">
        <v>46.0</v>
      </c>
      <c r="BO1" s="7">
        <v>47.0</v>
      </c>
      <c r="BP1" s="7">
        <v>48.0</v>
      </c>
      <c r="BQ1" s="6">
        <v>49.0</v>
      </c>
      <c r="BR1" s="7">
        <v>50.0</v>
      </c>
      <c r="BS1" s="7">
        <v>51.0</v>
      </c>
      <c r="BT1" s="6">
        <v>52.0</v>
      </c>
      <c r="BU1" s="7">
        <v>53.0</v>
      </c>
      <c r="BV1" s="7">
        <v>54.0</v>
      </c>
      <c r="BW1" s="6">
        <v>55.0</v>
      </c>
      <c r="BX1" s="7">
        <v>56.0</v>
      </c>
      <c r="BY1" s="7">
        <v>57.0</v>
      </c>
      <c r="BZ1" s="6">
        <v>58.0</v>
      </c>
      <c r="CA1" s="7">
        <v>59.0</v>
      </c>
      <c r="CB1" s="7">
        <v>60.0</v>
      </c>
      <c r="CC1" s="6">
        <v>61.0</v>
      </c>
      <c r="CD1" s="7">
        <v>62.0</v>
      </c>
      <c r="CE1" s="7">
        <v>63.0</v>
      </c>
      <c r="CF1" s="6">
        <v>64.0</v>
      </c>
      <c r="CG1" s="7">
        <v>65.0</v>
      </c>
      <c r="CH1" s="7">
        <v>66.0</v>
      </c>
      <c r="CI1" s="6">
        <v>67.0</v>
      </c>
      <c r="CJ1" s="7">
        <v>68.0</v>
      </c>
      <c r="CK1" s="7">
        <v>69.0</v>
      </c>
      <c r="CL1" s="6">
        <v>70.0</v>
      </c>
      <c r="CM1" s="7">
        <v>71.0</v>
      </c>
      <c r="CN1" s="7">
        <v>72.0</v>
      </c>
      <c r="CO1" s="6">
        <v>73.0</v>
      </c>
      <c r="CP1" s="7">
        <v>74.0</v>
      </c>
      <c r="CQ1" s="7">
        <v>75.0</v>
      </c>
      <c r="CR1" s="6">
        <v>76.0</v>
      </c>
      <c r="CS1" s="7">
        <v>77.0</v>
      </c>
      <c r="CT1" s="7">
        <v>78.0</v>
      </c>
      <c r="CU1" s="6">
        <v>79.0</v>
      </c>
      <c r="CV1" s="7">
        <v>80.0</v>
      </c>
      <c r="CW1" s="7">
        <v>81.0</v>
      </c>
      <c r="CX1" s="6">
        <v>82.0</v>
      </c>
      <c r="CY1" s="7">
        <v>83.0</v>
      </c>
      <c r="CZ1" s="7">
        <v>84.0</v>
      </c>
      <c r="DA1" s="6">
        <v>85.0</v>
      </c>
      <c r="DB1" s="7">
        <v>86.0</v>
      </c>
      <c r="DC1" s="7">
        <v>87.0</v>
      </c>
      <c r="DD1" s="6">
        <v>88.0</v>
      </c>
      <c r="DE1" s="7">
        <v>89.0</v>
      </c>
      <c r="DF1" s="7">
        <v>90.0</v>
      </c>
      <c r="DG1" s="6">
        <v>91.0</v>
      </c>
      <c r="DH1" s="7">
        <v>92.0</v>
      </c>
      <c r="DI1" s="7">
        <v>93.0</v>
      </c>
      <c r="DJ1" s="6">
        <v>94.0</v>
      </c>
      <c r="DK1" s="7">
        <v>95.0</v>
      </c>
      <c r="DL1" s="7">
        <v>96.0</v>
      </c>
      <c r="DM1" s="6">
        <v>97.0</v>
      </c>
      <c r="DN1" s="7">
        <v>98.0</v>
      </c>
      <c r="DO1" s="7">
        <v>99.0</v>
      </c>
      <c r="DP1" s="6">
        <v>100.0</v>
      </c>
      <c r="DQ1" s="7">
        <v>101.0</v>
      </c>
      <c r="DR1" s="7">
        <v>102.0</v>
      </c>
      <c r="DS1" s="6">
        <v>103.0</v>
      </c>
      <c r="DT1" s="7">
        <v>104.0</v>
      </c>
      <c r="DU1" s="7">
        <v>105.0</v>
      </c>
      <c r="DV1" s="6">
        <v>106.0</v>
      </c>
      <c r="DW1" s="7">
        <v>107.0</v>
      </c>
      <c r="DX1" s="7">
        <v>108.0</v>
      </c>
      <c r="DY1" s="6">
        <v>109.0</v>
      </c>
      <c r="DZ1" s="7">
        <v>110.0</v>
      </c>
      <c r="EA1" s="7">
        <v>111.0</v>
      </c>
      <c r="EB1" s="6">
        <v>112.0</v>
      </c>
      <c r="EC1" s="7">
        <v>113.0</v>
      </c>
      <c r="ED1" s="7">
        <v>114.0</v>
      </c>
      <c r="EE1" s="6">
        <v>115.0</v>
      </c>
      <c r="EF1" s="7">
        <v>116.0</v>
      </c>
      <c r="EG1" s="7">
        <v>117.0</v>
      </c>
      <c r="EH1" s="6">
        <v>118.0</v>
      </c>
      <c r="EI1" s="7">
        <v>119.0</v>
      </c>
      <c r="EJ1" s="7">
        <v>120.0</v>
      </c>
      <c r="EK1" s="6">
        <v>121.0</v>
      </c>
      <c r="EL1" s="7">
        <v>122.0</v>
      </c>
      <c r="EM1" s="7">
        <v>123.0</v>
      </c>
      <c r="EN1" s="6">
        <v>124.0</v>
      </c>
      <c r="EO1" s="7">
        <v>125.0</v>
      </c>
      <c r="EP1" s="7">
        <v>126.0</v>
      </c>
      <c r="EQ1" s="6">
        <v>127.0</v>
      </c>
      <c r="ER1" s="7">
        <v>128.0</v>
      </c>
      <c r="ES1" s="7">
        <v>129.0</v>
      </c>
      <c r="ET1" s="6">
        <v>130.0</v>
      </c>
      <c r="EU1" s="7">
        <v>131.0</v>
      </c>
      <c r="EV1" s="7">
        <v>132.0</v>
      </c>
      <c r="EW1" s="6">
        <v>133.0</v>
      </c>
      <c r="EX1" s="7">
        <v>134.0</v>
      </c>
      <c r="EY1" s="7">
        <v>135.0</v>
      </c>
      <c r="EZ1" s="6">
        <v>136.0</v>
      </c>
      <c r="FA1" s="7">
        <v>137.0</v>
      </c>
      <c r="FB1" s="7">
        <v>138.0</v>
      </c>
      <c r="FC1" s="6">
        <v>139.0</v>
      </c>
      <c r="FD1" s="7">
        <v>140.0</v>
      </c>
      <c r="FE1" s="7">
        <v>141.0</v>
      </c>
      <c r="FF1" s="6">
        <v>142.0</v>
      </c>
      <c r="FG1" s="7">
        <v>143.0</v>
      </c>
      <c r="FH1" s="7">
        <v>144.0</v>
      </c>
      <c r="FI1" s="6">
        <v>145.0</v>
      </c>
      <c r="FJ1" s="7">
        <v>146.0</v>
      </c>
      <c r="FK1" s="7">
        <v>147.0</v>
      </c>
      <c r="FL1" s="6">
        <v>148.0</v>
      </c>
      <c r="FM1" s="7">
        <v>149.0</v>
      </c>
      <c r="FN1" s="7">
        <v>150.0</v>
      </c>
      <c r="FO1" s="6">
        <v>151.0</v>
      </c>
      <c r="FP1" s="7">
        <v>152.0</v>
      </c>
      <c r="FQ1" s="7">
        <v>153.0</v>
      </c>
      <c r="FR1" s="6">
        <v>154.0</v>
      </c>
      <c r="FS1" s="7">
        <v>155.0</v>
      </c>
      <c r="FT1" s="7">
        <v>156.0</v>
      </c>
      <c r="FU1" s="6">
        <v>157.0</v>
      </c>
      <c r="FV1" s="7">
        <v>158.0</v>
      </c>
      <c r="FW1" s="7">
        <v>159.0</v>
      </c>
      <c r="FX1" s="6">
        <v>160.0</v>
      </c>
      <c r="FY1" s="7">
        <v>161.0</v>
      </c>
      <c r="FZ1" s="7">
        <v>162.0</v>
      </c>
      <c r="GA1" s="6">
        <v>163.0</v>
      </c>
      <c r="GB1" s="7">
        <v>164.0</v>
      </c>
      <c r="GC1" s="7">
        <v>165.0</v>
      </c>
      <c r="GD1" s="6">
        <v>166.0</v>
      </c>
      <c r="GE1" s="7">
        <v>167.0</v>
      </c>
      <c r="GF1" s="7">
        <v>168.0</v>
      </c>
      <c r="GG1" s="6">
        <v>169.0</v>
      </c>
      <c r="GH1" s="7">
        <v>170.0</v>
      </c>
      <c r="GI1" s="7">
        <v>171.0</v>
      </c>
      <c r="GJ1" s="6">
        <v>172.0</v>
      </c>
      <c r="GK1" s="7">
        <v>173.0</v>
      </c>
      <c r="GL1" s="7">
        <v>174.0</v>
      </c>
      <c r="GM1" s="6">
        <v>175.0</v>
      </c>
      <c r="GN1" s="7">
        <v>176.0</v>
      </c>
      <c r="GO1" s="7">
        <v>177.0</v>
      </c>
      <c r="GP1" s="6">
        <v>178.0</v>
      </c>
      <c r="GQ1" s="7">
        <v>179.0</v>
      </c>
      <c r="GR1" s="7">
        <v>180.0</v>
      </c>
      <c r="GS1" s="6">
        <v>181.0</v>
      </c>
      <c r="GT1" s="7">
        <v>182.0</v>
      </c>
      <c r="GU1" s="7">
        <v>183.0</v>
      </c>
      <c r="GV1" s="6">
        <v>184.0</v>
      </c>
      <c r="GW1" s="7">
        <v>185.0</v>
      </c>
      <c r="GX1" s="7">
        <v>186.0</v>
      </c>
      <c r="GY1" s="6">
        <v>187.0</v>
      </c>
      <c r="GZ1" s="7">
        <v>188.0</v>
      </c>
      <c r="HA1" s="7">
        <v>189.0</v>
      </c>
      <c r="HB1" s="6">
        <v>190.0</v>
      </c>
      <c r="HC1" s="7">
        <v>191.0</v>
      </c>
      <c r="HD1" s="7">
        <v>192.0</v>
      </c>
      <c r="HE1" s="6">
        <v>193.0</v>
      </c>
      <c r="HF1" s="7">
        <v>194.0</v>
      </c>
      <c r="HG1" s="7">
        <v>195.0</v>
      </c>
      <c r="HH1" s="6">
        <v>196.0</v>
      </c>
      <c r="HI1" s="7">
        <v>197.0</v>
      </c>
      <c r="HJ1" s="7">
        <v>198.0</v>
      </c>
      <c r="HK1" s="6">
        <v>199.0</v>
      </c>
      <c r="HL1" s="7">
        <v>200.0</v>
      </c>
      <c r="HM1" s="7">
        <v>201.0</v>
      </c>
      <c r="HN1" s="6">
        <v>202.0</v>
      </c>
      <c r="HO1" s="7">
        <v>203.0</v>
      </c>
      <c r="HP1" s="7">
        <v>204.0</v>
      </c>
      <c r="HQ1" s="6">
        <v>205.0</v>
      </c>
      <c r="HR1" s="7">
        <v>206.0</v>
      </c>
      <c r="HS1" s="7">
        <v>207.0</v>
      </c>
      <c r="HT1" s="6">
        <v>208.0</v>
      </c>
      <c r="HU1" s="7">
        <v>209.0</v>
      </c>
      <c r="HV1" s="7">
        <v>210.0</v>
      </c>
      <c r="HW1" s="6">
        <v>211.0</v>
      </c>
      <c r="HX1" s="7">
        <v>212.0</v>
      </c>
      <c r="HY1" s="7">
        <v>213.0</v>
      </c>
      <c r="HZ1" s="6">
        <v>214.0</v>
      </c>
      <c r="IA1" s="7">
        <v>215.0</v>
      </c>
      <c r="IB1" s="7">
        <v>216.0</v>
      </c>
      <c r="IC1" s="6">
        <v>217.0</v>
      </c>
      <c r="ID1" s="7">
        <v>218.0</v>
      </c>
      <c r="IE1" s="7">
        <v>219.0</v>
      </c>
      <c r="IF1" s="6">
        <v>220.0</v>
      </c>
      <c r="IG1" s="7">
        <v>221.0</v>
      </c>
      <c r="IH1" s="7">
        <v>222.0</v>
      </c>
      <c r="II1" s="6">
        <v>223.0</v>
      </c>
      <c r="IJ1" s="7">
        <v>224.0</v>
      </c>
      <c r="IK1" s="7">
        <v>225.0</v>
      </c>
      <c r="IL1" s="6">
        <v>226.0</v>
      </c>
      <c r="IM1" s="7">
        <v>227.0</v>
      </c>
      <c r="IN1" s="7">
        <v>228.0</v>
      </c>
      <c r="IO1" s="6">
        <v>229.0</v>
      </c>
      <c r="IP1" s="7">
        <v>230.0</v>
      </c>
      <c r="IQ1" s="7">
        <v>231.0</v>
      </c>
      <c r="IR1" s="6">
        <v>232.0</v>
      </c>
      <c r="IS1" s="7">
        <v>233.0</v>
      </c>
      <c r="IT1" s="7">
        <v>234.0</v>
      </c>
      <c r="IU1" s="6">
        <v>235.0</v>
      </c>
      <c r="IV1" s="7">
        <v>236.0</v>
      </c>
      <c r="IW1" s="7">
        <v>237.0</v>
      </c>
      <c r="IX1" s="6">
        <v>238.0</v>
      </c>
      <c r="IY1" s="7">
        <v>239.0</v>
      </c>
      <c r="IZ1" s="7">
        <v>240.0</v>
      </c>
      <c r="JA1" s="6">
        <v>241.0</v>
      </c>
      <c r="JB1" s="7">
        <v>242.0</v>
      </c>
      <c r="JC1" s="7">
        <v>243.0</v>
      </c>
      <c r="JD1" s="6">
        <v>244.0</v>
      </c>
      <c r="JE1" s="7">
        <v>245.0</v>
      </c>
      <c r="JF1" s="7">
        <v>246.0</v>
      </c>
      <c r="JG1" s="6">
        <v>247.0</v>
      </c>
      <c r="JH1" s="7">
        <v>248.0</v>
      </c>
      <c r="JI1" s="7">
        <v>249.0</v>
      </c>
      <c r="JJ1" s="6">
        <v>250.0</v>
      </c>
      <c r="JK1" s="7">
        <v>251.0</v>
      </c>
      <c r="JL1" s="7">
        <v>252.0</v>
      </c>
      <c r="JM1" s="6">
        <v>253.0</v>
      </c>
      <c r="JN1" s="7">
        <v>254.0</v>
      </c>
      <c r="JO1" s="7">
        <v>255.0</v>
      </c>
      <c r="JP1" s="6">
        <v>256.0</v>
      </c>
      <c r="JQ1" s="7">
        <v>257.0</v>
      </c>
      <c r="JR1" s="7">
        <v>258.0</v>
      </c>
      <c r="JS1" s="6">
        <v>259.0</v>
      </c>
      <c r="JT1" s="7">
        <v>260.0</v>
      </c>
      <c r="JU1" s="7">
        <v>261.0</v>
      </c>
      <c r="JV1" s="6">
        <v>262.0</v>
      </c>
      <c r="JW1" s="7">
        <v>263.0</v>
      </c>
      <c r="JX1" s="7">
        <v>264.0</v>
      </c>
      <c r="JY1" s="6">
        <v>265.0</v>
      </c>
      <c r="JZ1" s="7">
        <v>266.0</v>
      </c>
      <c r="KA1" s="7">
        <v>267.0</v>
      </c>
      <c r="KB1" s="6">
        <v>268.0</v>
      </c>
      <c r="KC1" s="7">
        <v>269.0</v>
      </c>
      <c r="KD1" s="7">
        <v>270.0</v>
      </c>
      <c r="KE1" s="6">
        <v>271.0</v>
      </c>
      <c r="KF1" s="7">
        <v>272.0</v>
      </c>
      <c r="KG1" s="7">
        <v>273.0</v>
      </c>
      <c r="KH1" s="6">
        <v>274.0</v>
      </c>
      <c r="KI1" s="7">
        <v>275.0</v>
      </c>
      <c r="KJ1" s="7">
        <v>276.0</v>
      </c>
      <c r="KK1" s="6">
        <v>277.0</v>
      </c>
      <c r="KL1" s="7">
        <v>278.0</v>
      </c>
      <c r="KM1" s="7">
        <v>279.0</v>
      </c>
      <c r="KN1" s="6">
        <v>280.0</v>
      </c>
      <c r="KO1" s="7">
        <v>281.0</v>
      </c>
      <c r="KP1" s="7">
        <v>282.0</v>
      </c>
      <c r="KQ1" s="6">
        <v>283.0</v>
      </c>
      <c r="KR1" s="7">
        <v>284.0</v>
      </c>
      <c r="KS1" s="7">
        <v>285.0</v>
      </c>
      <c r="KT1" s="6">
        <v>286.0</v>
      </c>
      <c r="KU1" s="6">
        <v>287.0</v>
      </c>
      <c r="KV1" s="6">
        <v>288.0</v>
      </c>
    </row>
    <row r="2" ht="13.5" customHeight="1">
      <c r="A2" s="8"/>
      <c r="B2" s="9"/>
      <c r="C2" s="9"/>
      <c r="D2" s="8" t="s">
        <v>0</v>
      </c>
      <c r="E2" s="10"/>
      <c r="F2" s="10"/>
      <c r="G2" s="10"/>
      <c r="H2" s="10"/>
      <c r="I2" s="11"/>
      <c r="J2" s="5"/>
      <c r="K2" s="5"/>
      <c r="L2" s="5"/>
      <c r="M2" s="5"/>
      <c r="N2" s="5"/>
      <c r="O2" s="5"/>
      <c r="P2" s="5"/>
      <c r="Q2" s="8"/>
      <c r="R2" s="8"/>
      <c r="S2" s="8"/>
      <c r="T2" s="8"/>
      <c r="U2" s="8"/>
      <c r="V2" s="8" t="s">
        <v>1</v>
      </c>
      <c r="W2" s="8" t="s">
        <v>1</v>
      </c>
      <c r="X2" s="8" t="s">
        <v>1</v>
      </c>
      <c r="Y2" s="8" t="s">
        <v>1</v>
      </c>
      <c r="Z2" s="8" t="s">
        <v>1</v>
      </c>
      <c r="AA2" s="8" t="s">
        <v>2</v>
      </c>
      <c r="AB2" s="8" t="s">
        <v>2</v>
      </c>
      <c r="AC2" s="8" t="s">
        <v>2</v>
      </c>
      <c r="AD2" s="8" t="s">
        <v>2</v>
      </c>
      <c r="AE2" s="8" t="s">
        <v>2</v>
      </c>
      <c r="AF2" s="8" t="s">
        <v>2</v>
      </c>
      <c r="AG2" s="8" t="s">
        <v>2</v>
      </c>
      <c r="AH2" s="8" t="s">
        <v>2</v>
      </c>
      <c r="AI2" s="8" t="s">
        <v>2</v>
      </c>
      <c r="AJ2" s="8" t="s">
        <v>2</v>
      </c>
      <c r="AK2" s="8" t="s">
        <v>2</v>
      </c>
      <c r="AL2" s="8" t="s">
        <v>2</v>
      </c>
      <c r="AM2" s="8" t="s">
        <v>2</v>
      </c>
      <c r="AN2" s="8" t="s">
        <v>2</v>
      </c>
      <c r="AO2" s="8" t="s">
        <v>2</v>
      </c>
      <c r="AP2" s="8" t="s">
        <v>2</v>
      </c>
      <c r="AQ2" s="8" t="s">
        <v>2</v>
      </c>
      <c r="AR2" s="8" t="s">
        <v>2</v>
      </c>
      <c r="AS2" s="8" t="s">
        <v>2</v>
      </c>
      <c r="AT2" s="8" t="s">
        <v>3</v>
      </c>
      <c r="AU2" s="8" t="s">
        <v>3</v>
      </c>
      <c r="AV2" s="8" t="s">
        <v>4</v>
      </c>
      <c r="AW2" s="8" t="s">
        <v>5</v>
      </c>
      <c r="AX2" s="8" t="s">
        <v>6</v>
      </c>
      <c r="AY2" s="8" t="s">
        <v>6</v>
      </c>
      <c r="AZ2" s="8" t="s">
        <v>6</v>
      </c>
      <c r="BA2" s="8" t="s">
        <v>6</v>
      </c>
      <c r="BB2" s="8" t="s">
        <v>6</v>
      </c>
      <c r="BC2" s="8" t="s">
        <v>6</v>
      </c>
      <c r="BD2" s="8" t="s">
        <v>6</v>
      </c>
      <c r="BE2" s="8" t="s">
        <v>6</v>
      </c>
      <c r="BF2" s="8" t="s">
        <v>6</v>
      </c>
      <c r="BG2" s="8" t="s">
        <v>6</v>
      </c>
      <c r="BH2" s="8" t="s">
        <v>6</v>
      </c>
      <c r="BI2" s="8" t="s">
        <v>6</v>
      </c>
      <c r="BJ2" s="8" t="s">
        <v>6</v>
      </c>
      <c r="BK2" s="8" t="s">
        <v>6</v>
      </c>
      <c r="BL2" s="8" t="s">
        <v>6</v>
      </c>
      <c r="BM2" s="8" t="s">
        <v>6</v>
      </c>
      <c r="BN2" s="8" t="s">
        <v>6</v>
      </c>
      <c r="BO2" s="8" t="s">
        <v>6</v>
      </c>
      <c r="BP2" s="8" t="s">
        <v>6</v>
      </c>
      <c r="BQ2" s="8" t="s">
        <v>6</v>
      </c>
      <c r="BR2" s="8" t="s">
        <v>6</v>
      </c>
      <c r="BS2" s="8" t="s">
        <v>6</v>
      </c>
      <c r="BT2" s="8" t="s">
        <v>6</v>
      </c>
      <c r="BU2" s="8" t="s">
        <v>6</v>
      </c>
      <c r="BV2" s="8" t="s">
        <v>6</v>
      </c>
      <c r="BW2" s="8" t="s">
        <v>6</v>
      </c>
      <c r="BX2" s="8" t="s">
        <v>7</v>
      </c>
      <c r="BY2" s="8" t="s">
        <v>7</v>
      </c>
      <c r="BZ2" s="8" t="s">
        <v>7</v>
      </c>
      <c r="CA2" s="8" t="s">
        <v>8</v>
      </c>
      <c r="CB2" s="8" t="s">
        <v>9</v>
      </c>
      <c r="CC2" s="8" t="s">
        <v>10</v>
      </c>
      <c r="CD2" s="8" t="s">
        <v>11</v>
      </c>
      <c r="CE2" s="8" t="s">
        <v>12</v>
      </c>
      <c r="CF2" s="8" t="s">
        <v>13</v>
      </c>
      <c r="CG2" s="8" t="s">
        <v>13</v>
      </c>
      <c r="CH2" s="8" t="s">
        <v>14</v>
      </c>
      <c r="CI2" s="8" t="s">
        <v>14</v>
      </c>
      <c r="CJ2" s="8" t="s">
        <v>14</v>
      </c>
      <c r="CK2" s="8" t="s">
        <v>14</v>
      </c>
      <c r="CL2" s="8" t="s">
        <v>14</v>
      </c>
      <c r="CM2" s="8" t="s">
        <v>14</v>
      </c>
      <c r="CN2" s="8" t="s">
        <v>14</v>
      </c>
      <c r="CO2" s="8" t="s">
        <v>14</v>
      </c>
      <c r="CP2" s="8" t="s">
        <v>14</v>
      </c>
      <c r="CQ2" s="8" t="s">
        <v>14</v>
      </c>
      <c r="CR2" s="8" t="s">
        <v>14</v>
      </c>
      <c r="CS2" s="8" t="s">
        <v>14</v>
      </c>
      <c r="CT2" s="8" t="s">
        <v>14</v>
      </c>
      <c r="CU2" s="8" t="s">
        <v>15</v>
      </c>
      <c r="CV2" s="8" t="s">
        <v>16</v>
      </c>
      <c r="CW2" s="8" t="s">
        <v>16</v>
      </c>
      <c r="CX2" s="8" t="s">
        <v>16</v>
      </c>
      <c r="CY2" s="8" t="s">
        <v>16</v>
      </c>
      <c r="CZ2" s="8" t="s">
        <v>16</v>
      </c>
      <c r="DA2" s="8" t="s">
        <v>16</v>
      </c>
      <c r="DB2" s="8" t="s">
        <v>16</v>
      </c>
      <c r="DC2" s="8" t="s">
        <v>16</v>
      </c>
      <c r="DD2" s="8" t="s">
        <v>16</v>
      </c>
      <c r="DE2" s="8" t="s">
        <v>16</v>
      </c>
      <c r="DF2" s="8" t="s">
        <v>17</v>
      </c>
      <c r="DG2" s="8" t="s">
        <v>17</v>
      </c>
      <c r="DH2" s="8" t="s">
        <v>17</v>
      </c>
      <c r="DI2" s="8" t="s">
        <v>18</v>
      </c>
      <c r="DJ2" s="8" t="s">
        <v>19</v>
      </c>
      <c r="DK2" s="8" t="s">
        <v>20</v>
      </c>
      <c r="DL2" s="8" t="s">
        <v>21</v>
      </c>
      <c r="DM2" s="8" t="s">
        <v>21</v>
      </c>
      <c r="DN2" s="8" t="s">
        <v>22</v>
      </c>
      <c r="DO2" s="8" t="s">
        <v>22</v>
      </c>
      <c r="DP2" s="8" t="s">
        <v>22</v>
      </c>
      <c r="DQ2" s="8" t="s">
        <v>22</v>
      </c>
      <c r="DR2" s="8" t="s">
        <v>22</v>
      </c>
      <c r="DS2" s="8" t="s">
        <v>22</v>
      </c>
      <c r="DT2" s="8" t="s">
        <v>23</v>
      </c>
      <c r="DU2" s="8" t="s">
        <v>23</v>
      </c>
      <c r="DV2" s="8" t="s">
        <v>24</v>
      </c>
      <c r="DW2" s="8" t="s">
        <v>24</v>
      </c>
      <c r="DX2" s="8" t="s">
        <v>25</v>
      </c>
      <c r="DY2" s="8" t="s">
        <v>25</v>
      </c>
      <c r="DZ2" s="8" t="s">
        <v>26</v>
      </c>
      <c r="EA2" s="8" t="s">
        <v>26</v>
      </c>
      <c r="EB2" s="8" t="s">
        <v>27</v>
      </c>
      <c r="EC2" s="8" t="s">
        <v>27</v>
      </c>
      <c r="ED2" s="8" t="s">
        <v>27</v>
      </c>
      <c r="EE2" s="8" t="s">
        <v>27</v>
      </c>
      <c r="EF2" s="8" t="s">
        <v>27</v>
      </c>
      <c r="EG2" s="8" t="s">
        <v>27</v>
      </c>
      <c r="EH2" s="8" t="s">
        <v>28</v>
      </c>
      <c r="EI2" s="8" t="s">
        <v>28</v>
      </c>
      <c r="EJ2" s="8" t="s">
        <v>28</v>
      </c>
      <c r="EK2" s="8" t="s">
        <v>28</v>
      </c>
      <c r="EL2" s="8" t="s">
        <v>28</v>
      </c>
      <c r="EM2" s="8" t="s">
        <v>29</v>
      </c>
      <c r="EN2" s="8" t="s">
        <v>30</v>
      </c>
      <c r="EO2" s="8" t="s">
        <v>30</v>
      </c>
      <c r="EP2" s="8" t="s">
        <v>30</v>
      </c>
      <c r="EQ2" s="8" t="s">
        <v>30</v>
      </c>
      <c r="ER2" s="8" t="s">
        <v>30</v>
      </c>
      <c r="ES2" s="8" t="s">
        <v>30</v>
      </c>
      <c r="ET2" s="8" t="s">
        <v>30</v>
      </c>
      <c r="EU2" s="8" t="s">
        <v>30</v>
      </c>
      <c r="EV2" s="8" t="s">
        <v>30</v>
      </c>
      <c r="EW2" s="8" t="s">
        <v>30</v>
      </c>
      <c r="EX2" s="8" t="s">
        <v>31</v>
      </c>
      <c r="EY2" s="8" t="s">
        <v>31</v>
      </c>
      <c r="EZ2" s="8" t="s">
        <v>31</v>
      </c>
      <c r="FA2" s="8" t="s">
        <v>31</v>
      </c>
      <c r="FB2" s="8" t="s">
        <v>31</v>
      </c>
      <c r="FC2" s="8" t="s">
        <v>31</v>
      </c>
      <c r="FD2" s="8" t="s">
        <v>31</v>
      </c>
      <c r="FE2" s="8" t="s">
        <v>31</v>
      </c>
      <c r="FF2" s="8" t="s">
        <v>32</v>
      </c>
      <c r="FG2" s="8" t="s">
        <v>32</v>
      </c>
      <c r="FH2" s="8" t="s">
        <v>33</v>
      </c>
      <c r="FI2" s="8" t="s">
        <v>34</v>
      </c>
      <c r="FJ2" s="8" t="s">
        <v>35</v>
      </c>
      <c r="FK2" s="8" t="s">
        <v>35</v>
      </c>
      <c r="FL2" s="8" t="s">
        <v>35</v>
      </c>
      <c r="FM2" s="8" t="s">
        <v>35</v>
      </c>
      <c r="FN2" s="8" t="s">
        <v>35</v>
      </c>
      <c r="FO2" s="8" t="s">
        <v>35</v>
      </c>
      <c r="FP2" s="8" t="s">
        <v>35</v>
      </c>
      <c r="FQ2" s="8" t="s">
        <v>35</v>
      </c>
      <c r="FR2" s="8" t="s">
        <v>35</v>
      </c>
      <c r="FS2" s="8" t="s">
        <v>35</v>
      </c>
      <c r="FT2" s="8" t="s">
        <v>35</v>
      </c>
      <c r="FU2" s="8" t="s">
        <v>35</v>
      </c>
      <c r="FV2" s="8" t="s">
        <v>35</v>
      </c>
      <c r="FW2" s="8" t="s">
        <v>35</v>
      </c>
      <c r="FX2" s="8" t="s">
        <v>35</v>
      </c>
      <c r="FY2" s="8" t="s">
        <v>36</v>
      </c>
      <c r="FZ2" s="8" t="s">
        <v>36</v>
      </c>
      <c r="GA2" s="8" t="s">
        <v>36</v>
      </c>
      <c r="GB2" s="8" t="s">
        <v>36</v>
      </c>
      <c r="GC2" s="8" t="s">
        <v>36</v>
      </c>
      <c r="GD2" s="8" t="s">
        <v>36</v>
      </c>
      <c r="GE2" s="8" t="s">
        <v>36</v>
      </c>
      <c r="GF2" s="8" t="s">
        <v>36</v>
      </c>
      <c r="GG2" s="8" t="s">
        <v>36</v>
      </c>
      <c r="GH2" s="8" t="s">
        <v>36</v>
      </c>
      <c r="GI2" s="8" t="s">
        <v>36</v>
      </c>
      <c r="GJ2" s="8" t="s">
        <v>37</v>
      </c>
      <c r="GK2" s="8" t="s">
        <v>37</v>
      </c>
      <c r="GL2" s="8" t="s">
        <v>37</v>
      </c>
      <c r="GM2" s="8" t="s">
        <v>37</v>
      </c>
      <c r="GN2" s="8" t="s">
        <v>37</v>
      </c>
      <c r="GO2" s="8" t="s">
        <v>37</v>
      </c>
      <c r="GP2" s="8" t="s">
        <v>37</v>
      </c>
      <c r="GQ2" s="8" t="s">
        <v>37</v>
      </c>
      <c r="GR2" s="8" t="s">
        <v>37</v>
      </c>
      <c r="GS2" s="8" t="s">
        <v>37</v>
      </c>
      <c r="GT2" s="8" t="s">
        <v>38</v>
      </c>
      <c r="GU2" s="8" t="s">
        <v>38</v>
      </c>
      <c r="GV2" s="8" t="s">
        <v>38</v>
      </c>
      <c r="GW2" s="8" t="s">
        <v>38</v>
      </c>
      <c r="GX2" s="8" t="s">
        <v>38</v>
      </c>
      <c r="GY2" s="8" t="s">
        <v>38</v>
      </c>
      <c r="GZ2" s="8" t="s">
        <v>38</v>
      </c>
      <c r="HA2" s="8" t="s">
        <v>38</v>
      </c>
      <c r="HB2" s="8" t="s">
        <v>38</v>
      </c>
      <c r="HC2" s="8" t="s">
        <v>38</v>
      </c>
      <c r="HD2" s="8" t="s">
        <v>38</v>
      </c>
      <c r="HE2" s="8" t="s">
        <v>38</v>
      </c>
      <c r="HF2" s="8" t="s">
        <v>38</v>
      </c>
      <c r="HG2" s="8" t="s">
        <v>38</v>
      </c>
      <c r="HH2" s="8" t="s">
        <v>38</v>
      </c>
      <c r="HI2" s="8" t="s">
        <v>38</v>
      </c>
      <c r="HJ2" s="8" t="s">
        <v>38</v>
      </c>
      <c r="HK2" s="8" t="s">
        <v>38</v>
      </c>
      <c r="HL2" s="8" t="s">
        <v>39</v>
      </c>
      <c r="HM2" s="8" t="s">
        <v>40</v>
      </c>
      <c r="HN2" s="8" t="s">
        <v>40</v>
      </c>
      <c r="HO2" s="8" t="s">
        <v>40</v>
      </c>
      <c r="HP2" s="8" t="s">
        <v>40</v>
      </c>
      <c r="HQ2" s="8" t="s">
        <v>41</v>
      </c>
      <c r="HR2" s="8" t="s">
        <v>41</v>
      </c>
      <c r="HS2" s="8" t="s">
        <v>42</v>
      </c>
      <c r="HT2" s="8" t="s">
        <v>42</v>
      </c>
      <c r="HU2" s="8" t="s">
        <v>42</v>
      </c>
      <c r="HV2" s="8" t="s">
        <v>42</v>
      </c>
      <c r="HW2" s="8" t="s">
        <v>43</v>
      </c>
      <c r="HX2" s="8" t="s">
        <v>43</v>
      </c>
      <c r="HY2" s="8" t="s">
        <v>43</v>
      </c>
      <c r="HZ2" s="8" t="s">
        <v>44</v>
      </c>
      <c r="IA2" s="8" t="s">
        <v>44</v>
      </c>
      <c r="IB2" s="8" t="s">
        <v>44</v>
      </c>
      <c r="IC2" s="8" t="s">
        <v>44</v>
      </c>
      <c r="ID2" s="8" t="s">
        <v>45</v>
      </c>
      <c r="IE2" s="8" t="s">
        <v>45</v>
      </c>
      <c r="IF2" s="8" t="s">
        <v>45</v>
      </c>
      <c r="IG2" s="8" t="s">
        <v>45</v>
      </c>
      <c r="IH2" s="8" t="s">
        <v>45</v>
      </c>
      <c r="II2" s="8" t="s">
        <v>45</v>
      </c>
      <c r="IJ2" s="8" t="s">
        <v>45</v>
      </c>
      <c r="IK2" s="8" t="s">
        <v>45</v>
      </c>
      <c r="IL2" s="8" t="s">
        <v>45</v>
      </c>
      <c r="IM2" s="8" t="s">
        <v>45</v>
      </c>
      <c r="IN2" s="8" t="s">
        <v>45</v>
      </c>
      <c r="IO2" s="8" t="s">
        <v>45</v>
      </c>
      <c r="IP2" s="8" t="s">
        <v>45</v>
      </c>
      <c r="IQ2" s="8" t="s">
        <v>46</v>
      </c>
      <c r="IR2" s="8" t="s">
        <v>47</v>
      </c>
      <c r="IS2" s="8" t="s">
        <v>47</v>
      </c>
      <c r="IT2" s="8" t="s">
        <v>47</v>
      </c>
      <c r="IU2" s="8" t="s">
        <v>47</v>
      </c>
      <c r="IV2" s="8" t="s">
        <v>48</v>
      </c>
      <c r="IW2" s="8" t="s">
        <v>48</v>
      </c>
      <c r="IX2" s="8" t="s">
        <v>48</v>
      </c>
      <c r="IY2" s="8" t="s">
        <v>48</v>
      </c>
      <c r="IZ2" s="8" t="s">
        <v>49</v>
      </c>
      <c r="JA2" s="8" t="s">
        <v>49</v>
      </c>
      <c r="JB2" s="8" t="s">
        <v>49</v>
      </c>
      <c r="JC2" s="8" t="s">
        <v>49</v>
      </c>
      <c r="JD2" s="8" t="s">
        <v>49</v>
      </c>
      <c r="JE2" s="8" t="s">
        <v>49</v>
      </c>
      <c r="JF2" s="8" t="s">
        <v>49</v>
      </c>
      <c r="JG2" s="8" t="s">
        <v>49</v>
      </c>
      <c r="JH2" s="8" t="s">
        <v>49</v>
      </c>
      <c r="JI2" s="8" t="s">
        <v>49</v>
      </c>
      <c r="JJ2" s="8" t="s">
        <v>50</v>
      </c>
      <c r="JK2" s="8" t="s">
        <v>50</v>
      </c>
      <c r="JL2" s="8" t="s">
        <v>50</v>
      </c>
      <c r="JM2" s="8" t="s">
        <v>51</v>
      </c>
      <c r="JN2" s="8" t="s">
        <v>51</v>
      </c>
      <c r="JO2" s="8" t="s">
        <v>51</v>
      </c>
      <c r="JP2" s="8" t="s">
        <v>51</v>
      </c>
      <c r="JQ2" s="8" t="s">
        <v>52</v>
      </c>
      <c r="JR2" s="8" t="s">
        <v>52</v>
      </c>
      <c r="JS2" s="8" t="s">
        <v>52</v>
      </c>
      <c r="JT2" s="8" t="s">
        <v>52</v>
      </c>
      <c r="JU2" s="8" t="s">
        <v>52</v>
      </c>
      <c r="JV2" s="8" t="s">
        <v>52</v>
      </c>
      <c r="JW2" s="8" t="s">
        <v>53</v>
      </c>
      <c r="JX2" s="8" t="s">
        <v>53</v>
      </c>
      <c r="JY2" s="8" t="s">
        <v>53</v>
      </c>
      <c r="JZ2" s="8" t="s">
        <v>53</v>
      </c>
      <c r="KA2" s="8" t="s">
        <v>53</v>
      </c>
      <c r="KB2" s="8" t="s">
        <v>53</v>
      </c>
      <c r="KC2" s="8" t="s">
        <v>53</v>
      </c>
      <c r="KD2" s="8" t="s">
        <v>53</v>
      </c>
      <c r="KE2" s="8" t="s">
        <v>53</v>
      </c>
      <c r="KF2" s="8" t="s">
        <v>53</v>
      </c>
      <c r="KG2" s="8" t="s">
        <v>54</v>
      </c>
      <c r="KH2" s="8" t="s">
        <v>54</v>
      </c>
      <c r="KI2" s="8" t="s">
        <v>55</v>
      </c>
      <c r="KJ2" s="8" t="s">
        <v>55</v>
      </c>
      <c r="KK2" s="8" t="s">
        <v>55</v>
      </c>
      <c r="KL2" s="8" t="s">
        <v>55</v>
      </c>
      <c r="KM2" s="8" t="s">
        <v>55</v>
      </c>
      <c r="KN2" s="8" t="s">
        <v>55</v>
      </c>
      <c r="KO2" s="8" t="s">
        <v>55</v>
      </c>
      <c r="KP2" s="8" t="s">
        <v>55</v>
      </c>
      <c r="KQ2" s="8" t="s">
        <v>55</v>
      </c>
      <c r="KR2" s="8" t="s">
        <v>55</v>
      </c>
      <c r="KS2" s="8" t="s">
        <v>56</v>
      </c>
      <c r="KT2" s="8" t="s">
        <v>57</v>
      </c>
      <c r="KU2" s="12" t="s">
        <v>58</v>
      </c>
      <c r="KV2" s="12" t="s">
        <v>58</v>
      </c>
    </row>
    <row r="3" ht="12.75" customHeight="1">
      <c r="A3" s="8"/>
      <c r="B3" s="9"/>
      <c r="C3" s="9"/>
      <c r="D3" s="13" t="str">
        <f>VLOOKUP($K$9,$U$7:$BX$8,56,0)</f>
        <v>Sport Entries Form</v>
      </c>
      <c r="E3" s="14"/>
      <c r="F3" s="15"/>
      <c r="G3" s="15"/>
      <c r="H3" s="15"/>
      <c r="I3" s="11"/>
      <c r="J3" s="5"/>
      <c r="K3" s="5"/>
      <c r="L3" s="5"/>
      <c r="U3" s="12" t="s">
        <v>59</v>
      </c>
      <c r="V3" s="8" t="s">
        <v>60</v>
      </c>
      <c r="W3" s="8" t="s">
        <v>61</v>
      </c>
      <c r="X3" s="8" t="s">
        <v>62</v>
      </c>
      <c r="Y3" s="8" t="s">
        <v>63</v>
      </c>
      <c r="Z3" s="8" t="s">
        <v>64</v>
      </c>
      <c r="AA3" s="8" t="s">
        <v>65</v>
      </c>
      <c r="AB3" s="8" t="s">
        <v>66</v>
      </c>
      <c r="AC3" s="8" t="s">
        <v>67</v>
      </c>
      <c r="AD3" s="8" t="s">
        <v>68</v>
      </c>
      <c r="AE3" s="8" t="s">
        <v>69</v>
      </c>
      <c r="AF3" s="8" t="s">
        <v>70</v>
      </c>
      <c r="AG3" s="8" t="s">
        <v>71</v>
      </c>
      <c r="AH3" s="8" t="s">
        <v>72</v>
      </c>
      <c r="AI3" s="8" t="s">
        <v>73</v>
      </c>
      <c r="AJ3" s="8" t="s">
        <v>74</v>
      </c>
      <c r="AK3" s="8" t="s">
        <v>75</v>
      </c>
      <c r="AL3" s="8" t="s">
        <v>76</v>
      </c>
      <c r="AM3" s="8" t="s">
        <v>77</v>
      </c>
      <c r="AN3" s="8" t="s">
        <v>78</v>
      </c>
      <c r="AO3" s="8" t="s">
        <v>79</v>
      </c>
      <c r="AP3" s="8" t="s">
        <v>80</v>
      </c>
      <c r="AQ3" s="8" t="s">
        <v>81</v>
      </c>
      <c r="AR3" s="8" t="s">
        <v>82</v>
      </c>
      <c r="AS3" s="8" t="s">
        <v>83</v>
      </c>
      <c r="AT3" s="8" t="s">
        <v>84</v>
      </c>
      <c r="AU3" s="8" t="s">
        <v>85</v>
      </c>
      <c r="AV3" s="8" t="s">
        <v>86</v>
      </c>
      <c r="AW3" s="8" t="s">
        <v>87</v>
      </c>
      <c r="AX3" s="8" t="s">
        <v>88</v>
      </c>
      <c r="AY3" s="8" t="s">
        <v>89</v>
      </c>
      <c r="AZ3" s="8" t="s">
        <v>90</v>
      </c>
      <c r="BA3" s="8" t="s">
        <v>91</v>
      </c>
      <c r="BB3" s="8" t="s">
        <v>92</v>
      </c>
      <c r="BC3" s="8" t="s">
        <v>93</v>
      </c>
      <c r="BD3" s="8" t="s">
        <v>94</v>
      </c>
      <c r="BE3" s="8" t="s">
        <v>95</v>
      </c>
      <c r="BF3" s="8" t="s">
        <v>96</v>
      </c>
      <c r="BG3" s="8" t="s">
        <v>97</v>
      </c>
      <c r="BH3" s="8" t="s">
        <v>98</v>
      </c>
      <c r="BI3" s="8" t="s">
        <v>99</v>
      </c>
      <c r="BJ3" s="8" t="s">
        <v>100</v>
      </c>
      <c r="BK3" s="8" t="s">
        <v>101</v>
      </c>
      <c r="BL3" s="8" t="s">
        <v>102</v>
      </c>
      <c r="BM3" s="8" t="s">
        <v>103</v>
      </c>
      <c r="BN3" s="8" t="s">
        <v>104</v>
      </c>
      <c r="BO3" s="8" t="s">
        <v>105</v>
      </c>
      <c r="BP3" s="8" t="s">
        <v>106</v>
      </c>
      <c r="BQ3" s="8" t="s">
        <v>107</v>
      </c>
      <c r="BR3" s="8" t="s">
        <v>108</v>
      </c>
      <c r="BS3" s="8" t="s">
        <v>109</v>
      </c>
      <c r="BT3" s="8" t="s">
        <v>110</v>
      </c>
      <c r="BU3" s="8" t="s">
        <v>111</v>
      </c>
      <c r="BV3" s="8" t="s">
        <v>112</v>
      </c>
      <c r="BW3" s="8" t="s">
        <v>113</v>
      </c>
      <c r="BX3" s="8" t="s">
        <v>114</v>
      </c>
      <c r="BY3" s="8" t="s">
        <v>115</v>
      </c>
      <c r="BZ3" s="8" t="s">
        <v>116</v>
      </c>
      <c r="CA3" s="8" t="s">
        <v>117</v>
      </c>
      <c r="CB3" s="8" t="s">
        <v>118</v>
      </c>
      <c r="CC3" s="8" t="s">
        <v>119</v>
      </c>
      <c r="CD3" s="8" t="s">
        <v>120</v>
      </c>
      <c r="CE3" s="8" t="s">
        <v>121</v>
      </c>
      <c r="CF3" s="8" t="s">
        <v>114</v>
      </c>
      <c r="CG3" s="8" t="s">
        <v>115</v>
      </c>
      <c r="CH3" s="8" t="s">
        <v>122</v>
      </c>
      <c r="CI3" s="8" t="s">
        <v>123</v>
      </c>
      <c r="CJ3" s="8" t="s">
        <v>124</v>
      </c>
      <c r="CK3" s="8" t="s">
        <v>125</v>
      </c>
      <c r="CL3" s="8" t="s">
        <v>126</v>
      </c>
      <c r="CM3" s="8" t="s">
        <v>127</v>
      </c>
      <c r="CN3" s="8" t="s">
        <v>128</v>
      </c>
      <c r="CO3" s="8" t="s">
        <v>129</v>
      </c>
      <c r="CP3" s="8" t="s">
        <v>130</v>
      </c>
      <c r="CQ3" s="8" t="s">
        <v>131</v>
      </c>
      <c r="CR3" s="8" t="s">
        <v>132</v>
      </c>
      <c r="CS3" s="8" t="s">
        <v>133</v>
      </c>
      <c r="CT3" s="8" t="s">
        <v>134</v>
      </c>
      <c r="CU3" s="8" t="s">
        <v>135</v>
      </c>
      <c r="CV3" s="8" t="s">
        <v>136</v>
      </c>
      <c r="CW3" s="8" t="s">
        <v>137</v>
      </c>
      <c r="CX3" s="8" t="s">
        <v>138</v>
      </c>
      <c r="CY3" s="8" t="s">
        <v>139</v>
      </c>
      <c r="CZ3" s="8" t="s">
        <v>140</v>
      </c>
      <c r="DA3" s="8" t="s">
        <v>141</v>
      </c>
      <c r="DB3" s="8" t="s">
        <v>142</v>
      </c>
      <c r="DC3" s="8" t="s">
        <v>143</v>
      </c>
      <c r="DD3" s="8" t="s">
        <v>144</v>
      </c>
      <c r="DE3" s="8" t="s">
        <v>145</v>
      </c>
      <c r="DF3" s="8" t="s">
        <v>146</v>
      </c>
      <c r="DG3" s="8" t="s">
        <v>147</v>
      </c>
      <c r="DH3" s="8" t="s">
        <v>148</v>
      </c>
      <c r="DI3" s="8" t="s">
        <v>149</v>
      </c>
      <c r="DJ3" s="8" t="s">
        <v>150</v>
      </c>
      <c r="DK3" s="8" t="s">
        <v>151</v>
      </c>
      <c r="DL3" s="8" t="s">
        <v>152</v>
      </c>
      <c r="DM3" s="8" t="s">
        <v>153</v>
      </c>
      <c r="DN3" s="8" t="s">
        <v>154</v>
      </c>
      <c r="DO3" s="8" t="s">
        <v>155</v>
      </c>
      <c r="DP3" s="8" t="s">
        <v>156</v>
      </c>
      <c r="DQ3" s="8" t="s">
        <v>157</v>
      </c>
      <c r="DR3" s="8" t="s">
        <v>158</v>
      </c>
      <c r="DS3" s="8" t="s">
        <v>159</v>
      </c>
      <c r="DT3" s="8" t="s">
        <v>160</v>
      </c>
      <c r="DU3" s="8" t="s">
        <v>161</v>
      </c>
      <c r="DV3" s="8" t="s">
        <v>162</v>
      </c>
      <c r="DW3" s="8" t="s">
        <v>163</v>
      </c>
      <c r="DX3" s="8" t="s">
        <v>164</v>
      </c>
      <c r="DY3" s="8" t="s">
        <v>165</v>
      </c>
      <c r="DZ3" s="8" t="s">
        <v>166</v>
      </c>
      <c r="EA3" s="8" t="s">
        <v>167</v>
      </c>
      <c r="EB3" s="8" t="s">
        <v>168</v>
      </c>
      <c r="EC3" s="8" t="s">
        <v>169</v>
      </c>
      <c r="ED3" s="8" t="s">
        <v>170</v>
      </c>
      <c r="EE3" s="8" t="s">
        <v>171</v>
      </c>
      <c r="EF3" s="8" t="s">
        <v>172</v>
      </c>
      <c r="EG3" s="8" t="s">
        <v>173</v>
      </c>
      <c r="EH3" s="8" t="s">
        <v>174</v>
      </c>
      <c r="EI3" s="8" t="s">
        <v>175</v>
      </c>
      <c r="EJ3" s="8" t="s">
        <v>176</v>
      </c>
      <c r="EK3" s="8" t="s">
        <v>177</v>
      </c>
      <c r="EL3" s="8" t="s">
        <v>178</v>
      </c>
      <c r="EM3" s="8" t="s">
        <v>179</v>
      </c>
      <c r="EN3" s="8" t="s">
        <v>84</v>
      </c>
      <c r="EO3" s="8" t="s">
        <v>180</v>
      </c>
      <c r="EP3" s="8" t="s">
        <v>181</v>
      </c>
      <c r="EQ3" s="8" t="s">
        <v>182</v>
      </c>
      <c r="ER3" s="8" t="s">
        <v>183</v>
      </c>
      <c r="ES3" s="8" t="s">
        <v>176</v>
      </c>
      <c r="ET3" s="8" t="s">
        <v>184</v>
      </c>
      <c r="EU3" s="8" t="s">
        <v>185</v>
      </c>
      <c r="EV3" s="8" t="s">
        <v>186</v>
      </c>
      <c r="EW3" s="8" t="s">
        <v>187</v>
      </c>
      <c r="EX3" s="8" t="s">
        <v>188</v>
      </c>
      <c r="EY3" s="8" t="s">
        <v>189</v>
      </c>
      <c r="EZ3" s="8" t="s">
        <v>190</v>
      </c>
      <c r="FA3" s="8" t="s">
        <v>191</v>
      </c>
      <c r="FB3" s="8" t="s">
        <v>192</v>
      </c>
      <c r="FC3" s="8" t="s">
        <v>193</v>
      </c>
      <c r="FD3" s="8" t="s">
        <v>194</v>
      </c>
      <c r="FE3" s="8" t="s">
        <v>195</v>
      </c>
      <c r="FF3" s="8" t="s">
        <v>114</v>
      </c>
      <c r="FG3" s="8" t="s">
        <v>196</v>
      </c>
      <c r="FH3" s="8" t="s">
        <v>197</v>
      </c>
      <c r="FI3" s="8" t="s">
        <v>198</v>
      </c>
      <c r="FJ3" s="12" t="s">
        <v>199</v>
      </c>
      <c r="FK3" s="12" t="s">
        <v>200</v>
      </c>
      <c r="FL3" s="12" t="s">
        <v>201</v>
      </c>
      <c r="FM3" s="12" t="s">
        <v>202</v>
      </c>
      <c r="FN3" s="12" t="s">
        <v>203</v>
      </c>
      <c r="FO3" s="12" t="s">
        <v>204</v>
      </c>
      <c r="FP3" s="12" t="s">
        <v>205</v>
      </c>
      <c r="FQ3" s="12" t="s">
        <v>206</v>
      </c>
      <c r="FR3" s="12" t="s">
        <v>207</v>
      </c>
      <c r="FS3" s="12" t="s">
        <v>208</v>
      </c>
      <c r="FT3" s="12" t="s">
        <v>209</v>
      </c>
      <c r="FU3" s="12" t="s">
        <v>210</v>
      </c>
      <c r="FV3" s="12" t="s">
        <v>211</v>
      </c>
      <c r="FW3" s="12" t="s">
        <v>212</v>
      </c>
      <c r="FX3" s="8" t="s">
        <v>213</v>
      </c>
      <c r="FY3" s="12" t="s">
        <v>214</v>
      </c>
      <c r="FZ3" s="12" t="s">
        <v>215</v>
      </c>
      <c r="GA3" s="12" t="s">
        <v>216</v>
      </c>
      <c r="GB3" s="12" t="s">
        <v>217</v>
      </c>
      <c r="GC3" s="12" t="s">
        <v>218</v>
      </c>
      <c r="GD3" s="12" t="s">
        <v>219</v>
      </c>
      <c r="GE3" s="12" t="s">
        <v>220</v>
      </c>
      <c r="GF3" s="12" t="s">
        <v>221</v>
      </c>
      <c r="GG3" s="12" t="s">
        <v>222</v>
      </c>
      <c r="GH3" s="12" t="s">
        <v>223</v>
      </c>
      <c r="GI3" s="8" t="s">
        <v>224</v>
      </c>
      <c r="GJ3" s="8" t="s">
        <v>225</v>
      </c>
      <c r="GK3" s="8" t="s">
        <v>226</v>
      </c>
      <c r="GL3" s="8" t="s">
        <v>227</v>
      </c>
      <c r="GM3" s="8" t="s">
        <v>228</v>
      </c>
      <c r="GN3" s="8" t="s">
        <v>229</v>
      </c>
      <c r="GO3" s="8" t="s">
        <v>230</v>
      </c>
      <c r="GP3" s="8" t="s">
        <v>231</v>
      </c>
      <c r="GQ3" s="8" t="s">
        <v>232</v>
      </c>
      <c r="GR3" s="8" t="s">
        <v>233</v>
      </c>
      <c r="GS3" s="8" t="s">
        <v>234</v>
      </c>
      <c r="GT3" s="8" t="s">
        <v>235</v>
      </c>
      <c r="GU3" s="8" t="s">
        <v>236</v>
      </c>
      <c r="GV3" s="8" t="s">
        <v>237</v>
      </c>
      <c r="GW3" s="8" t="s">
        <v>238</v>
      </c>
      <c r="GX3" s="8" t="s">
        <v>239</v>
      </c>
      <c r="GY3" s="8" t="s">
        <v>240</v>
      </c>
      <c r="GZ3" s="8" t="s">
        <v>241</v>
      </c>
      <c r="HA3" s="8" t="s">
        <v>242</v>
      </c>
      <c r="HB3" s="8" t="s">
        <v>243</v>
      </c>
      <c r="HC3" s="8" t="s">
        <v>244</v>
      </c>
      <c r="HD3" s="8" t="s">
        <v>245</v>
      </c>
      <c r="HE3" s="8" t="s">
        <v>246</v>
      </c>
      <c r="HF3" s="8" t="s">
        <v>247</v>
      </c>
      <c r="HG3" s="8" t="s">
        <v>248</v>
      </c>
      <c r="HH3" s="8" t="s">
        <v>249</v>
      </c>
      <c r="HI3" s="8" t="s">
        <v>250</v>
      </c>
      <c r="HJ3" s="8" t="s">
        <v>251</v>
      </c>
      <c r="HK3" s="8" t="s">
        <v>252</v>
      </c>
      <c r="HL3" s="8" t="s">
        <v>253</v>
      </c>
      <c r="HM3" s="8" t="s">
        <v>254</v>
      </c>
      <c r="HN3" s="8" t="s">
        <v>255</v>
      </c>
      <c r="HO3" s="8" t="s">
        <v>256</v>
      </c>
      <c r="HP3" s="8" t="s">
        <v>257</v>
      </c>
      <c r="HQ3" s="8" t="s">
        <v>258</v>
      </c>
      <c r="HR3" s="8" t="s">
        <v>259</v>
      </c>
      <c r="HS3" s="8" t="s">
        <v>260</v>
      </c>
      <c r="HT3" s="8" t="s">
        <v>261</v>
      </c>
      <c r="HU3" s="8" t="s">
        <v>262</v>
      </c>
      <c r="HV3" s="8" t="s">
        <v>263</v>
      </c>
      <c r="HW3" s="8" t="s">
        <v>114</v>
      </c>
      <c r="HX3" s="8" t="s">
        <v>264</v>
      </c>
      <c r="HY3" s="8" t="s">
        <v>265</v>
      </c>
      <c r="HZ3" s="8" t="s">
        <v>114</v>
      </c>
      <c r="IA3" s="8" t="s">
        <v>115</v>
      </c>
      <c r="IB3" s="8" t="s">
        <v>84</v>
      </c>
      <c r="IC3" s="8" t="s">
        <v>266</v>
      </c>
      <c r="ID3" s="8" t="s">
        <v>267</v>
      </c>
      <c r="IE3" s="8" t="s">
        <v>268</v>
      </c>
      <c r="IF3" s="8" t="s">
        <v>269</v>
      </c>
      <c r="IG3" s="8" t="s">
        <v>270</v>
      </c>
      <c r="IH3" s="8" t="s">
        <v>271</v>
      </c>
      <c r="II3" s="8" t="s">
        <v>272</v>
      </c>
      <c r="IJ3" s="8" t="s">
        <v>273</v>
      </c>
      <c r="IK3" s="8" t="s">
        <v>274</v>
      </c>
      <c r="IL3" s="8" t="s">
        <v>275</v>
      </c>
      <c r="IM3" s="8" t="s">
        <v>276</v>
      </c>
      <c r="IN3" s="8" t="s">
        <v>277</v>
      </c>
      <c r="IO3" s="8" t="s">
        <v>278</v>
      </c>
      <c r="IP3" s="8" t="s">
        <v>279</v>
      </c>
      <c r="IQ3" s="8" t="s">
        <v>280</v>
      </c>
      <c r="IR3" s="8" t="s">
        <v>114</v>
      </c>
      <c r="IS3" s="8" t="s">
        <v>84</v>
      </c>
      <c r="IT3" s="8" t="s">
        <v>115</v>
      </c>
      <c r="IU3" s="8" t="s">
        <v>266</v>
      </c>
      <c r="IV3" s="8" t="s">
        <v>281</v>
      </c>
      <c r="IW3" s="8" t="s">
        <v>282</v>
      </c>
      <c r="IX3" s="8" t="s">
        <v>283</v>
      </c>
      <c r="IY3" s="8" t="s">
        <v>284</v>
      </c>
      <c r="IZ3" s="8" t="s">
        <v>285</v>
      </c>
      <c r="JA3" s="8" t="s">
        <v>286</v>
      </c>
      <c r="JB3" s="8" t="s">
        <v>287</v>
      </c>
      <c r="JC3" s="8" t="s">
        <v>288</v>
      </c>
      <c r="JD3" s="8" t="s">
        <v>289</v>
      </c>
      <c r="JE3" s="8" t="s">
        <v>290</v>
      </c>
      <c r="JF3" s="8" t="s">
        <v>291</v>
      </c>
      <c r="JG3" s="8" t="s">
        <v>292</v>
      </c>
      <c r="JH3" s="8" t="s">
        <v>293</v>
      </c>
      <c r="JI3" s="8" t="s">
        <v>294</v>
      </c>
      <c r="JJ3" s="8" t="s">
        <v>114</v>
      </c>
      <c r="JK3" s="8" t="s">
        <v>115</v>
      </c>
      <c r="JL3" s="8" t="s">
        <v>266</v>
      </c>
      <c r="JM3" s="8" t="s">
        <v>114</v>
      </c>
      <c r="JN3" s="8" t="s">
        <v>84</v>
      </c>
      <c r="JO3" s="8" t="s">
        <v>115</v>
      </c>
      <c r="JP3" s="8" t="s">
        <v>266</v>
      </c>
      <c r="JQ3" s="8" t="s">
        <v>295</v>
      </c>
      <c r="JR3" s="8" t="s">
        <v>296</v>
      </c>
      <c r="JS3" s="8" t="s">
        <v>297</v>
      </c>
      <c r="JT3" s="8" t="s">
        <v>298</v>
      </c>
      <c r="JU3" s="8" t="s">
        <v>299</v>
      </c>
      <c r="JV3" s="8" t="s">
        <v>300</v>
      </c>
      <c r="JW3" s="8" t="s">
        <v>301</v>
      </c>
      <c r="JX3" s="8" t="s">
        <v>302</v>
      </c>
      <c r="JY3" s="8" t="s">
        <v>303</v>
      </c>
      <c r="JZ3" s="8" t="s">
        <v>304</v>
      </c>
      <c r="KA3" s="8" t="s">
        <v>305</v>
      </c>
      <c r="KB3" s="8" t="s">
        <v>306</v>
      </c>
      <c r="KC3" s="8" t="s">
        <v>307</v>
      </c>
      <c r="KD3" s="8" t="s">
        <v>308</v>
      </c>
      <c r="KE3" s="8" t="s">
        <v>309</v>
      </c>
      <c r="KF3" s="8" t="s">
        <v>310</v>
      </c>
      <c r="KG3" s="8" t="s">
        <v>114</v>
      </c>
      <c r="KH3" s="8" t="s">
        <v>265</v>
      </c>
      <c r="KI3" s="8" t="s">
        <v>311</v>
      </c>
      <c r="KJ3" s="8" t="s">
        <v>312</v>
      </c>
      <c r="KK3" s="8" t="s">
        <v>313</v>
      </c>
      <c r="KL3" s="8" t="s">
        <v>314</v>
      </c>
      <c r="KM3" s="8" t="s">
        <v>315</v>
      </c>
      <c r="KN3" s="8" t="s">
        <v>316</v>
      </c>
      <c r="KO3" s="8" t="s">
        <v>317</v>
      </c>
      <c r="KP3" s="8" t="s">
        <v>318</v>
      </c>
      <c r="KQ3" s="8" t="s">
        <v>319</v>
      </c>
      <c r="KR3" s="8" t="s">
        <v>320</v>
      </c>
      <c r="KS3" s="8" t="s">
        <v>321</v>
      </c>
      <c r="KT3" s="8" t="s">
        <v>322</v>
      </c>
      <c r="KU3" s="12" t="s">
        <v>323</v>
      </c>
      <c r="KV3" s="12" t="s">
        <v>324</v>
      </c>
    </row>
    <row r="4" ht="12.75" customHeight="1">
      <c r="A4" s="8"/>
      <c r="B4" s="8"/>
      <c r="C4" s="8"/>
      <c r="E4" s="14"/>
      <c r="F4" s="15"/>
      <c r="G4" s="15"/>
      <c r="H4" s="15"/>
      <c r="I4" s="11"/>
      <c r="J4" s="5"/>
      <c r="K4" s="5"/>
      <c r="L4" s="5"/>
      <c r="U4" s="12" t="s">
        <v>325</v>
      </c>
      <c r="V4" s="8" t="s">
        <v>326</v>
      </c>
      <c r="W4" s="8" t="s">
        <v>327</v>
      </c>
      <c r="X4" s="8" t="s">
        <v>328</v>
      </c>
      <c r="Y4" s="8" t="s">
        <v>329</v>
      </c>
      <c r="Z4" s="8" t="s">
        <v>330</v>
      </c>
      <c r="AA4" s="8" t="s">
        <v>331</v>
      </c>
      <c r="AB4" s="8" t="s">
        <v>332</v>
      </c>
      <c r="AC4" s="8" t="s">
        <v>333</v>
      </c>
      <c r="AD4" s="8" t="s">
        <v>334</v>
      </c>
      <c r="AE4" s="8" t="s">
        <v>335</v>
      </c>
      <c r="AF4" s="8" t="s">
        <v>336</v>
      </c>
      <c r="AG4" s="8" t="s">
        <v>337</v>
      </c>
      <c r="AH4" s="8" t="s">
        <v>338</v>
      </c>
      <c r="AI4" s="8" t="s">
        <v>339</v>
      </c>
      <c r="AJ4" s="8" t="s">
        <v>340</v>
      </c>
      <c r="AK4" s="8" t="s">
        <v>341</v>
      </c>
      <c r="AL4" s="8" t="s">
        <v>342</v>
      </c>
      <c r="AM4" s="8" t="s">
        <v>343</v>
      </c>
      <c r="AN4" s="8" t="s">
        <v>344</v>
      </c>
      <c r="AO4" s="8" t="s">
        <v>345</v>
      </c>
      <c r="AP4" s="8" t="s">
        <v>346</v>
      </c>
      <c r="AQ4" s="8" t="s">
        <v>347</v>
      </c>
      <c r="AR4" s="8" t="s">
        <v>348</v>
      </c>
      <c r="AS4" s="8" t="s">
        <v>349</v>
      </c>
      <c r="AT4" s="8" t="s">
        <v>350</v>
      </c>
      <c r="AU4" s="8" t="s">
        <v>351</v>
      </c>
      <c r="AV4" s="12" t="s">
        <v>352</v>
      </c>
      <c r="AW4" s="12" t="s">
        <v>353</v>
      </c>
      <c r="AX4" s="8" t="s">
        <v>88</v>
      </c>
      <c r="AY4" s="8" t="s">
        <v>89</v>
      </c>
      <c r="AZ4" s="8" t="s">
        <v>90</v>
      </c>
      <c r="BA4" s="8" t="s">
        <v>91</v>
      </c>
      <c r="BB4" s="8" t="s">
        <v>92</v>
      </c>
      <c r="BC4" s="8" t="s">
        <v>93</v>
      </c>
      <c r="BD4" s="8" t="s">
        <v>94</v>
      </c>
      <c r="BE4" s="8" t="s">
        <v>354</v>
      </c>
      <c r="BF4" s="8" t="s">
        <v>355</v>
      </c>
      <c r="BG4" s="8" t="s">
        <v>356</v>
      </c>
      <c r="BH4" s="8" t="s">
        <v>98</v>
      </c>
      <c r="BI4" s="8" t="s">
        <v>99</v>
      </c>
      <c r="BJ4" s="8" t="s">
        <v>357</v>
      </c>
      <c r="BK4" s="8" t="s">
        <v>358</v>
      </c>
      <c r="BL4" s="8" t="s">
        <v>359</v>
      </c>
      <c r="BM4" s="8" t="s">
        <v>360</v>
      </c>
      <c r="BN4" s="8" t="s">
        <v>361</v>
      </c>
      <c r="BO4" s="8" t="s">
        <v>362</v>
      </c>
      <c r="BP4" s="8" t="s">
        <v>363</v>
      </c>
      <c r="BQ4" s="8" t="s">
        <v>364</v>
      </c>
      <c r="BR4" s="8" t="s">
        <v>365</v>
      </c>
      <c r="BS4" s="8" t="s">
        <v>109</v>
      </c>
      <c r="BT4" s="8" t="s">
        <v>366</v>
      </c>
      <c r="BU4" s="8" t="s">
        <v>367</v>
      </c>
      <c r="BV4" s="8" t="s">
        <v>368</v>
      </c>
      <c r="BW4" s="8" t="s">
        <v>369</v>
      </c>
      <c r="BX4" s="8" t="s">
        <v>114</v>
      </c>
      <c r="BY4" s="8" t="s">
        <v>351</v>
      </c>
      <c r="BZ4" s="8" t="s">
        <v>370</v>
      </c>
      <c r="CA4" s="12" t="s">
        <v>371</v>
      </c>
      <c r="CB4" s="12" t="s">
        <v>372</v>
      </c>
      <c r="CC4" s="12" t="s">
        <v>373</v>
      </c>
      <c r="CD4" s="12" t="s">
        <v>374</v>
      </c>
      <c r="CE4" s="12" t="s">
        <v>375</v>
      </c>
      <c r="CF4" s="8" t="s">
        <v>114</v>
      </c>
      <c r="CG4" s="8" t="s">
        <v>376</v>
      </c>
      <c r="CH4" s="8" t="s">
        <v>122</v>
      </c>
      <c r="CI4" s="8" t="s">
        <v>123</v>
      </c>
      <c r="CJ4" s="8" t="s">
        <v>124</v>
      </c>
      <c r="CK4" s="8" t="s">
        <v>125</v>
      </c>
      <c r="CL4" s="8" t="s">
        <v>126</v>
      </c>
      <c r="CM4" s="8" t="s">
        <v>127</v>
      </c>
      <c r="CN4" s="8" t="s">
        <v>128</v>
      </c>
      <c r="CO4" s="8" t="s">
        <v>129</v>
      </c>
      <c r="CP4" s="8" t="s">
        <v>130</v>
      </c>
      <c r="CQ4" s="8" t="s">
        <v>131</v>
      </c>
      <c r="CR4" s="8" t="s">
        <v>132</v>
      </c>
      <c r="CS4" s="8" t="s">
        <v>133</v>
      </c>
      <c r="CT4" s="8" t="s">
        <v>134</v>
      </c>
      <c r="CU4" s="8" t="s">
        <v>135</v>
      </c>
      <c r="CV4" s="8" t="s">
        <v>136</v>
      </c>
      <c r="CW4" s="8" t="s">
        <v>137</v>
      </c>
      <c r="CX4" s="8" t="s">
        <v>138</v>
      </c>
      <c r="CY4" s="8" t="s">
        <v>139</v>
      </c>
      <c r="CZ4" s="8" t="s">
        <v>140</v>
      </c>
      <c r="DA4" s="8" t="s">
        <v>141</v>
      </c>
      <c r="DB4" s="8" t="s">
        <v>142</v>
      </c>
      <c r="DC4" s="8" t="s">
        <v>143</v>
      </c>
      <c r="DD4" s="8" t="s">
        <v>144</v>
      </c>
      <c r="DE4" s="8" t="s">
        <v>145</v>
      </c>
      <c r="DF4" s="8" t="s">
        <v>146</v>
      </c>
      <c r="DG4" s="8" t="s">
        <v>147</v>
      </c>
      <c r="DH4" s="8" t="s">
        <v>148</v>
      </c>
      <c r="DI4" s="8" t="s">
        <v>149</v>
      </c>
      <c r="DJ4" s="8" t="s">
        <v>150</v>
      </c>
      <c r="DK4" s="8" t="s">
        <v>151</v>
      </c>
      <c r="DL4" s="8" t="s">
        <v>377</v>
      </c>
      <c r="DM4" s="8" t="s">
        <v>378</v>
      </c>
      <c r="DN4" s="8" t="s">
        <v>379</v>
      </c>
      <c r="DO4" s="8" t="s">
        <v>155</v>
      </c>
      <c r="DP4" s="8" t="s">
        <v>156</v>
      </c>
      <c r="DQ4" s="8" t="s">
        <v>380</v>
      </c>
      <c r="DR4" s="8" t="s">
        <v>381</v>
      </c>
      <c r="DS4" s="8" t="s">
        <v>159</v>
      </c>
      <c r="DT4" s="8" t="s">
        <v>382</v>
      </c>
      <c r="DU4" s="8" t="s">
        <v>383</v>
      </c>
      <c r="DV4" s="8" t="s">
        <v>384</v>
      </c>
      <c r="DW4" s="8" t="s">
        <v>385</v>
      </c>
      <c r="DX4" s="8" t="s">
        <v>386</v>
      </c>
      <c r="DY4" s="8" t="s">
        <v>387</v>
      </c>
      <c r="DZ4" s="8" t="s">
        <v>388</v>
      </c>
      <c r="EA4" s="8" t="s">
        <v>167</v>
      </c>
      <c r="EB4" s="8" t="s">
        <v>389</v>
      </c>
      <c r="EC4" s="8" t="s">
        <v>390</v>
      </c>
      <c r="ED4" s="8" t="s">
        <v>391</v>
      </c>
      <c r="EE4" s="8" t="s">
        <v>392</v>
      </c>
      <c r="EF4" s="8" t="s">
        <v>393</v>
      </c>
      <c r="EG4" s="8" t="s">
        <v>394</v>
      </c>
      <c r="EH4" s="8" t="s">
        <v>395</v>
      </c>
      <c r="EI4" s="8" t="s">
        <v>175</v>
      </c>
      <c r="EJ4" s="8" t="s">
        <v>396</v>
      </c>
      <c r="EK4" s="8" t="s">
        <v>177</v>
      </c>
      <c r="EL4" s="8" t="s">
        <v>178</v>
      </c>
      <c r="EM4" s="12" t="s">
        <v>397</v>
      </c>
      <c r="EN4" s="8" t="s">
        <v>350</v>
      </c>
      <c r="EO4" s="8" t="s">
        <v>398</v>
      </c>
      <c r="EP4" s="8" t="s">
        <v>399</v>
      </c>
      <c r="EQ4" s="8" t="s">
        <v>400</v>
      </c>
      <c r="ER4" s="8" t="s">
        <v>401</v>
      </c>
      <c r="ES4" s="8" t="s">
        <v>402</v>
      </c>
      <c r="ET4" s="8" t="s">
        <v>403</v>
      </c>
      <c r="EU4" s="8" t="s">
        <v>404</v>
      </c>
      <c r="EV4" s="8" t="s">
        <v>405</v>
      </c>
      <c r="EW4" s="8" t="s">
        <v>406</v>
      </c>
      <c r="EX4" s="8" t="s">
        <v>398</v>
      </c>
      <c r="EY4" s="8" t="s">
        <v>407</v>
      </c>
      <c r="EZ4" s="8" t="s">
        <v>408</v>
      </c>
      <c r="FA4" s="8" t="s">
        <v>409</v>
      </c>
      <c r="FB4" s="8" t="s">
        <v>410</v>
      </c>
      <c r="FC4" s="8" t="s">
        <v>411</v>
      </c>
      <c r="FD4" s="8" t="s">
        <v>412</v>
      </c>
      <c r="FE4" s="8" t="s">
        <v>413</v>
      </c>
      <c r="FF4" s="8" t="s">
        <v>114</v>
      </c>
      <c r="FG4" s="8" t="s">
        <v>414</v>
      </c>
      <c r="FH4" s="8" t="s">
        <v>197</v>
      </c>
      <c r="FI4" s="12" t="s">
        <v>415</v>
      </c>
      <c r="FJ4" s="8" t="s">
        <v>416</v>
      </c>
      <c r="FK4" s="12" t="s">
        <v>200</v>
      </c>
      <c r="FL4" s="12" t="s">
        <v>201</v>
      </c>
      <c r="FM4" s="12" t="s">
        <v>202</v>
      </c>
      <c r="FN4" s="12" t="s">
        <v>203</v>
      </c>
      <c r="FO4" s="12" t="s">
        <v>204</v>
      </c>
      <c r="FP4" s="12" t="s">
        <v>205</v>
      </c>
      <c r="FQ4" s="12" t="s">
        <v>206</v>
      </c>
      <c r="FR4" s="12" t="s">
        <v>207</v>
      </c>
      <c r="FS4" s="12" t="s">
        <v>208</v>
      </c>
      <c r="FT4" s="12" t="s">
        <v>209</v>
      </c>
      <c r="FU4" s="12" t="s">
        <v>210</v>
      </c>
      <c r="FV4" s="12" t="s">
        <v>211</v>
      </c>
      <c r="FW4" s="12" t="s">
        <v>212</v>
      </c>
      <c r="FX4" s="8" t="s">
        <v>417</v>
      </c>
      <c r="FY4" s="12" t="s">
        <v>214</v>
      </c>
      <c r="FZ4" s="12" t="s">
        <v>215</v>
      </c>
      <c r="GA4" s="12" t="s">
        <v>216</v>
      </c>
      <c r="GB4" s="12" t="s">
        <v>217</v>
      </c>
      <c r="GC4" s="12" t="s">
        <v>218</v>
      </c>
      <c r="GD4" s="12" t="s">
        <v>219</v>
      </c>
      <c r="GE4" s="12" t="s">
        <v>220</v>
      </c>
      <c r="GF4" s="12" t="s">
        <v>221</v>
      </c>
      <c r="GG4" s="12" t="s">
        <v>222</v>
      </c>
      <c r="GH4" s="12" t="s">
        <v>223</v>
      </c>
      <c r="GI4" s="8" t="s">
        <v>224</v>
      </c>
      <c r="GJ4" s="8" t="s">
        <v>225</v>
      </c>
      <c r="GK4" s="8" t="s">
        <v>226</v>
      </c>
      <c r="GL4" s="8" t="s">
        <v>227</v>
      </c>
      <c r="GM4" s="8" t="s">
        <v>228</v>
      </c>
      <c r="GN4" s="8" t="s">
        <v>229</v>
      </c>
      <c r="GO4" s="8" t="s">
        <v>230</v>
      </c>
      <c r="GP4" s="8" t="s">
        <v>231</v>
      </c>
      <c r="GQ4" s="8" t="s">
        <v>232</v>
      </c>
      <c r="GR4" s="8" t="s">
        <v>233</v>
      </c>
      <c r="GS4" s="8" t="s">
        <v>234</v>
      </c>
      <c r="GT4" s="8" t="s">
        <v>418</v>
      </c>
      <c r="GU4" s="8" t="s">
        <v>419</v>
      </c>
      <c r="GV4" s="8" t="s">
        <v>420</v>
      </c>
      <c r="GW4" s="8" t="s">
        <v>421</v>
      </c>
      <c r="GX4" s="8" t="s">
        <v>422</v>
      </c>
      <c r="GY4" s="8" t="s">
        <v>423</v>
      </c>
      <c r="GZ4" s="8" t="s">
        <v>424</v>
      </c>
      <c r="HA4" s="8" t="s">
        <v>425</v>
      </c>
      <c r="HB4" s="8" t="s">
        <v>426</v>
      </c>
      <c r="HC4" s="8" t="s">
        <v>427</v>
      </c>
      <c r="HD4" s="8" t="s">
        <v>428</v>
      </c>
      <c r="HE4" s="8" t="s">
        <v>429</v>
      </c>
      <c r="HF4" s="8" t="s">
        <v>430</v>
      </c>
      <c r="HG4" s="8" t="s">
        <v>431</v>
      </c>
      <c r="HH4" s="8" t="s">
        <v>432</v>
      </c>
      <c r="HI4" s="8" t="s">
        <v>433</v>
      </c>
      <c r="HJ4" s="8" t="s">
        <v>434</v>
      </c>
      <c r="HK4" s="8" t="s">
        <v>435</v>
      </c>
      <c r="HL4" s="12" t="s">
        <v>436</v>
      </c>
      <c r="HM4" s="8" t="s">
        <v>437</v>
      </c>
      <c r="HN4" s="8" t="s">
        <v>438</v>
      </c>
      <c r="HO4" s="8" t="s">
        <v>439</v>
      </c>
      <c r="HP4" s="8" t="s">
        <v>440</v>
      </c>
      <c r="HQ4" s="8" t="s">
        <v>258</v>
      </c>
      <c r="HR4" s="8" t="s">
        <v>259</v>
      </c>
      <c r="HS4" s="8" t="s">
        <v>441</v>
      </c>
      <c r="HT4" s="8" t="s">
        <v>442</v>
      </c>
      <c r="HU4" s="8" t="s">
        <v>443</v>
      </c>
      <c r="HV4" s="8" t="s">
        <v>263</v>
      </c>
      <c r="HW4" s="8" t="s">
        <v>114</v>
      </c>
      <c r="HX4" s="8" t="s">
        <v>444</v>
      </c>
      <c r="HY4" s="8" t="s">
        <v>445</v>
      </c>
      <c r="HZ4" s="8" t="s">
        <v>114</v>
      </c>
      <c r="IA4" s="8" t="s">
        <v>376</v>
      </c>
      <c r="IB4" s="8" t="s">
        <v>350</v>
      </c>
      <c r="IC4" s="8" t="s">
        <v>370</v>
      </c>
      <c r="ID4" s="8" t="s">
        <v>267</v>
      </c>
      <c r="IE4" s="8" t="s">
        <v>268</v>
      </c>
      <c r="IF4" s="8" t="s">
        <v>269</v>
      </c>
      <c r="IG4" s="8" t="s">
        <v>270</v>
      </c>
      <c r="IH4" s="8" t="s">
        <v>271</v>
      </c>
      <c r="II4" s="8" t="s">
        <v>272</v>
      </c>
      <c r="IJ4" s="8" t="s">
        <v>273</v>
      </c>
      <c r="IK4" s="8" t="s">
        <v>274</v>
      </c>
      <c r="IL4" s="8" t="s">
        <v>275</v>
      </c>
      <c r="IM4" s="8" t="s">
        <v>276</v>
      </c>
      <c r="IN4" s="8" t="s">
        <v>277</v>
      </c>
      <c r="IO4" s="8" t="s">
        <v>278</v>
      </c>
      <c r="IP4" s="8" t="s">
        <v>446</v>
      </c>
      <c r="IQ4" s="12" t="s">
        <v>280</v>
      </c>
      <c r="IR4" s="8" t="s">
        <v>114</v>
      </c>
      <c r="IS4" s="8" t="s">
        <v>376</v>
      </c>
      <c r="IT4" s="8" t="s">
        <v>350</v>
      </c>
      <c r="IU4" s="8" t="s">
        <v>370</v>
      </c>
      <c r="IV4" s="8" t="s">
        <v>281</v>
      </c>
      <c r="IW4" s="8" t="s">
        <v>282</v>
      </c>
      <c r="IX4" s="8" t="s">
        <v>283</v>
      </c>
      <c r="IY4" s="8" t="s">
        <v>284</v>
      </c>
      <c r="IZ4" s="8" t="s">
        <v>285</v>
      </c>
      <c r="JA4" s="8" t="s">
        <v>286</v>
      </c>
      <c r="JB4" s="8" t="s">
        <v>287</v>
      </c>
      <c r="JC4" s="8" t="s">
        <v>288</v>
      </c>
      <c r="JD4" s="8" t="s">
        <v>289</v>
      </c>
      <c r="JE4" s="8" t="s">
        <v>290</v>
      </c>
      <c r="JF4" s="8" t="s">
        <v>291</v>
      </c>
      <c r="JG4" s="8" t="s">
        <v>292</v>
      </c>
      <c r="JH4" s="8" t="s">
        <v>447</v>
      </c>
      <c r="JI4" s="8" t="s">
        <v>448</v>
      </c>
      <c r="JJ4" s="8" t="s">
        <v>114</v>
      </c>
      <c r="JK4" s="8" t="s">
        <v>376</v>
      </c>
      <c r="JL4" s="8" t="s">
        <v>370</v>
      </c>
      <c r="JM4" s="8" t="s">
        <v>114</v>
      </c>
      <c r="JN4" s="8" t="s">
        <v>350</v>
      </c>
      <c r="JO4" s="8" t="s">
        <v>376</v>
      </c>
      <c r="JP4" s="8" t="s">
        <v>370</v>
      </c>
      <c r="JQ4" s="8" t="s">
        <v>449</v>
      </c>
      <c r="JR4" s="8" t="s">
        <v>450</v>
      </c>
      <c r="JS4" s="8" t="s">
        <v>451</v>
      </c>
      <c r="JT4" s="8" t="s">
        <v>452</v>
      </c>
      <c r="JU4" s="8" t="s">
        <v>453</v>
      </c>
      <c r="JV4" s="8" t="s">
        <v>454</v>
      </c>
      <c r="JW4" s="8" t="s">
        <v>455</v>
      </c>
      <c r="JX4" s="8" t="s">
        <v>456</v>
      </c>
      <c r="JY4" s="8" t="s">
        <v>457</v>
      </c>
      <c r="JZ4" s="8" t="s">
        <v>458</v>
      </c>
      <c r="KA4" s="8" t="s">
        <v>459</v>
      </c>
      <c r="KB4" s="8" t="s">
        <v>306</v>
      </c>
      <c r="KC4" s="8" t="s">
        <v>307</v>
      </c>
      <c r="KD4" s="8" t="s">
        <v>460</v>
      </c>
      <c r="KE4" s="8" t="s">
        <v>461</v>
      </c>
      <c r="KF4" s="8" t="s">
        <v>462</v>
      </c>
      <c r="KG4" s="8" t="s">
        <v>114</v>
      </c>
      <c r="KH4" s="8" t="s">
        <v>445</v>
      </c>
      <c r="KI4" s="8" t="s">
        <v>463</v>
      </c>
      <c r="KJ4" s="8" t="s">
        <v>464</v>
      </c>
      <c r="KK4" s="8" t="s">
        <v>465</v>
      </c>
      <c r="KL4" s="8" t="s">
        <v>466</v>
      </c>
      <c r="KM4" s="8" t="s">
        <v>467</v>
      </c>
      <c r="KN4" s="8" t="s">
        <v>468</v>
      </c>
      <c r="KO4" s="8" t="s">
        <v>317</v>
      </c>
      <c r="KP4" s="8" t="s">
        <v>469</v>
      </c>
      <c r="KQ4" s="8" t="s">
        <v>470</v>
      </c>
      <c r="KR4" s="8" t="s">
        <v>471</v>
      </c>
      <c r="KS4" s="12" t="s">
        <v>472</v>
      </c>
      <c r="KT4" s="12" t="s">
        <v>473</v>
      </c>
      <c r="KU4" s="12" t="s">
        <v>474</v>
      </c>
      <c r="KV4" s="12" t="s">
        <v>475</v>
      </c>
    </row>
    <row r="5" ht="12.75" customHeight="1">
      <c r="A5" s="8"/>
      <c r="B5" s="8"/>
      <c r="C5" s="8"/>
      <c r="D5" s="16" t="str">
        <f>VLOOKUP($K$9,$U$7:$BW$8,48,0)</f>
        <v>Triathlon</v>
      </c>
      <c r="E5" s="17"/>
      <c r="F5" s="10"/>
      <c r="G5" s="10"/>
      <c r="H5" s="10"/>
      <c r="I5" s="11"/>
      <c r="J5" s="5"/>
      <c r="K5" s="5"/>
      <c r="L5" s="5"/>
      <c r="M5" s="5"/>
      <c r="N5" s="5"/>
      <c r="O5" s="5"/>
      <c r="P5" s="5"/>
      <c r="Q5" s="8"/>
      <c r="R5" s="8"/>
      <c r="S5" s="8"/>
      <c r="T5" s="8"/>
      <c r="U5" s="12" t="s">
        <v>59</v>
      </c>
      <c r="V5" s="12" t="s">
        <v>476</v>
      </c>
      <c r="W5" s="12" t="s">
        <v>477</v>
      </c>
      <c r="X5" s="12" t="s">
        <v>58</v>
      </c>
      <c r="Y5" s="12" t="s">
        <v>478</v>
      </c>
      <c r="Z5" s="12" t="s">
        <v>479</v>
      </c>
      <c r="AA5" s="12" t="s">
        <v>480</v>
      </c>
      <c r="AB5" s="12" t="s">
        <v>481</v>
      </c>
      <c r="AC5" s="12" t="s">
        <v>482</v>
      </c>
      <c r="AD5" s="12" t="s">
        <v>483</v>
      </c>
      <c r="AE5" s="12" t="s">
        <v>484</v>
      </c>
      <c r="AF5" s="12" t="s">
        <v>485</v>
      </c>
      <c r="AG5" s="12" t="s">
        <v>486</v>
      </c>
      <c r="AH5" s="12" t="s">
        <v>487</v>
      </c>
      <c r="AI5" s="12" t="s">
        <v>488</v>
      </c>
      <c r="AJ5" s="12" t="s">
        <v>489</v>
      </c>
      <c r="AK5" s="12" t="s">
        <v>490</v>
      </c>
      <c r="AL5" s="12" t="s">
        <v>491</v>
      </c>
      <c r="AM5" s="12" t="s">
        <v>492</v>
      </c>
      <c r="AN5" s="12" t="s">
        <v>493</v>
      </c>
      <c r="AO5" s="12" t="s">
        <v>494</v>
      </c>
      <c r="AP5" s="12" t="s">
        <v>495</v>
      </c>
      <c r="AQ5" s="12" t="s">
        <v>496</v>
      </c>
      <c r="AR5" s="12" t="s">
        <v>497</v>
      </c>
      <c r="AS5" s="12" t="s">
        <v>498</v>
      </c>
      <c r="AT5" s="12" t="s">
        <v>499</v>
      </c>
      <c r="AV5" s="12" t="s">
        <v>500</v>
      </c>
      <c r="AW5" s="12" t="s">
        <v>501</v>
      </c>
      <c r="AX5" s="12" t="s">
        <v>502</v>
      </c>
      <c r="AY5" s="12" t="s">
        <v>503</v>
      </c>
      <c r="AZ5" s="12" t="s">
        <v>504</v>
      </c>
      <c r="BA5" s="12" t="s">
        <v>505</v>
      </c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2"/>
      <c r="CD5" s="12"/>
      <c r="CE5" s="12"/>
      <c r="CF5" s="12"/>
      <c r="CG5" s="12"/>
      <c r="CH5" s="12"/>
      <c r="CI5" s="12"/>
      <c r="CJ5" s="12"/>
      <c r="CK5" s="12"/>
      <c r="CL5" s="12"/>
      <c r="CM5" s="12"/>
      <c r="CN5" s="12"/>
      <c r="CO5" s="12"/>
      <c r="CP5" s="12"/>
      <c r="CQ5" s="12"/>
      <c r="CR5" s="12"/>
      <c r="CS5" s="12"/>
      <c r="CT5" s="12"/>
      <c r="CU5" s="12"/>
      <c r="CV5" s="12"/>
      <c r="CW5" s="12"/>
      <c r="CX5" s="12"/>
      <c r="CY5" s="12"/>
      <c r="CZ5" s="12"/>
      <c r="DA5" s="12"/>
      <c r="DB5" s="12"/>
      <c r="DC5" s="12"/>
      <c r="DD5" s="12"/>
      <c r="DE5" s="12"/>
      <c r="DF5" s="12"/>
      <c r="DG5" s="12"/>
      <c r="DH5" s="12"/>
      <c r="DI5" s="12"/>
      <c r="DJ5" s="12"/>
      <c r="DK5" s="12"/>
      <c r="DL5" s="12"/>
      <c r="DM5" s="12"/>
      <c r="DN5" s="12"/>
      <c r="DO5" s="12"/>
      <c r="DP5" s="12"/>
      <c r="DQ5" s="12"/>
      <c r="DR5" s="12"/>
      <c r="DS5" s="12"/>
      <c r="DT5" s="12"/>
      <c r="DU5" s="12"/>
      <c r="DV5" s="12"/>
      <c r="DW5" s="12"/>
      <c r="DX5" s="12"/>
      <c r="DY5" s="12"/>
      <c r="DZ5" s="12"/>
      <c r="EA5" s="12"/>
      <c r="EB5" s="12"/>
      <c r="EC5" s="12"/>
      <c r="ED5" s="12"/>
      <c r="EE5" s="12"/>
      <c r="EF5" s="12"/>
      <c r="EG5" s="12"/>
      <c r="EH5" s="12"/>
      <c r="EI5" s="12"/>
      <c r="EJ5" s="12"/>
      <c r="EK5" s="12"/>
      <c r="EL5" s="12"/>
      <c r="EM5" s="12"/>
      <c r="EN5" s="12"/>
      <c r="EO5" s="12"/>
      <c r="EP5" s="12"/>
      <c r="EQ5" s="12"/>
      <c r="ER5" s="12"/>
      <c r="ES5" s="12"/>
      <c r="ET5" s="12"/>
      <c r="EU5" s="12"/>
      <c r="EV5" s="12"/>
      <c r="EW5" s="12"/>
      <c r="EX5" s="12"/>
      <c r="EY5" s="12"/>
      <c r="EZ5" s="12"/>
      <c r="FA5" s="12"/>
      <c r="FB5" s="12"/>
      <c r="FC5" s="12"/>
      <c r="FD5" s="12"/>
      <c r="FE5" s="12"/>
      <c r="FF5" s="12"/>
      <c r="FG5" s="12"/>
      <c r="FH5" s="12"/>
      <c r="FI5" s="12"/>
      <c r="FJ5" s="12"/>
      <c r="FK5" s="12"/>
      <c r="FL5" s="12"/>
      <c r="FM5" s="12"/>
      <c r="FN5" s="12"/>
      <c r="FO5" s="12"/>
      <c r="FP5" s="12"/>
      <c r="FQ5" s="12"/>
      <c r="FR5" s="12"/>
      <c r="FS5" s="12"/>
      <c r="FT5" s="12"/>
      <c r="FU5" s="12"/>
      <c r="FV5" s="12"/>
      <c r="FW5" s="12"/>
      <c r="FX5" s="12"/>
      <c r="FY5" s="12"/>
      <c r="FZ5" s="12"/>
      <c r="GA5" s="12"/>
      <c r="GB5" s="12"/>
      <c r="GC5" s="12"/>
      <c r="GD5" s="12"/>
      <c r="GE5" s="12"/>
      <c r="GF5" s="12"/>
      <c r="GG5" s="12"/>
      <c r="GH5" s="12"/>
      <c r="GI5" s="12"/>
      <c r="GJ5" s="12"/>
      <c r="GK5" s="12"/>
      <c r="GL5" s="12"/>
      <c r="GM5" s="12"/>
      <c r="GN5" s="12"/>
      <c r="GO5" s="12"/>
      <c r="GP5" s="12"/>
      <c r="GQ5" s="12"/>
      <c r="GR5" s="12"/>
      <c r="GS5" s="12"/>
      <c r="GT5" s="12"/>
      <c r="GU5" s="12"/>
      <c r="GV5" s="12"/>
      <c r="GW5" s="12"/>
      <c r="GX5" s="12"/>
      <c r="GY5" s="12"/>
      <c r="GZ5" s="12"/>
      <c r="HA5" s="12"/>
      <c r="HB5" s="12"/>
      <c r="HC5" s="12"/>
      <c r="HD5" s="12"/>
      <c r="HE5" s="12"/>
      <c r="HF5" s="12"/>
      <c r="HG5" s="12"/>
      <c r="HH5" s="12"/>
      <c r="HI5" s="12"/>
      <c r="HJ5" s="12"/>
      <c r="HK5" s="12"/>
      <c r="HL5" s="12"/>
      <c r="HM5" s="12"/>
      <c r="HN5" s="12"/>
      <c r="HO5" s="12"/>
      <c r="HP5" s="12"/>
      <c r="HQ5" s="12"/>
      <c r="HR5" s="12"/>
      <c r="HS5" s="12"/>
      <c r="HT5" s="12"/>
      <c r="HU5" s="12"/>
      <c r="HV5" s="12"/>
      <c r="HW5" s="12"/>
      <c r="HX5" s="12"/>
      <c r="HY5" s="12"/>
      <c r="HZ5" s="12"/>
      <c r="IA5" s="12"/>
      <c r="IB5" s="12"/>
      <c r="IC5" s="12"/>
      <c r="ID5" s="12"/>
      <c r="IE5" s="12"/>
      <c r="IF5" s="12"/>
      <c r="IG5" s="12"/>
      <c r="IH5" s="12"/>
      <c r="II5" s="12"/>
      <c r="IJ5" s="12"/>
      <c r="IK5" s="12"/>
      <c r="IL5" s="12"/>
      <c r="IM5" s="12"/>
      <c r="IN5" s="12"/>
      <c r="IO5" s="12"/>
      <c r="IP5" s="12"/>
      <c r="IQ5" s="12"/>
      <c r="IR5" s="12"/>
      <c r="IS5" s="12"/>
      <c r="IT5" s="12"/>
      <c r="IU5" s="12"/>
      <c r="IV5" s="12"/>
      <c r="IW5" s="12"/>
      <c r="IX5" s="12"/>
      <c r="IY5" s="12"/>
      <c r="IZ5" s="12"/>
      <c r="JA5" s="12"/>
      <c r="JB5" s="12"/>
      <c r="JC5" s="12"/>
      <c r="JD5" s="12"/>
      <c r="JE5" s="12"/>
      <c r="JF5" s="12"/>
      <c r="JG5" s="12"/>
      <c r="JH5" s="12"/>
      <c r="JI5" s="12"/>
      <c r="JJ5" s="12"/>
      <c r="JK5" s="12"/>
      <c r="JL5" s="12"/>
      <c r="JM5" s="12"/>
      <c r="JN5" s="12"/>
      <c r="JO5" s="12"/>
      <c r="JP5" s="12"/>
      <c r="JQ5" s="12"/>
      <c r="JR5" s="12"/>
      <c r="JS5" s="12"/>
      <c r="JT5" s="12"/>
      <c r="JU5" s="12"/>
      <c r="JV5" s="12"/>
      <c r="JW5" s="12"/>
      <c r="JX5" s="12"/>
      <c r="JY5" s="12"/>
      <c r="JZ5" s="12"/>
      <c r="KA5" s="12"/>
      <c r="KB5" s="12"/>
      <c r="KC5" s="12"/>
      <c r="KD5" s="12"/>
      <c r="KE5" s="12"/>
      <c r="KF5" s="12"/>
      <c r="KG5" s="12"/>
      <c r="KH5" s="12"/>
      <c r="KI5" s="12"/>
      <c r="KJ5" s="12"/>
      <c r="KK5" s="12"/>
      <c r="KL5" s="12"/>
      <c r="KM5" s="12"/>
      <c r="KN5" s="12"/>
      <c r="KO5" s="12"/>
      <c r="KP5" s="12"/>
      <c r="KQ5" s="12"/>
      <c r="KR5" s="12"/>
      <c r="KS5" s="12"/>
      <c r="KT5" s="12"/>
      <c r="KU5" s="12"/>
      <c r="KV5" s="12"/>
    </row>
    <row r="6" ht="12.75" customHeight="1">
      <c r="A6" s="8"/>
      <c r="B6" s="8"/>
      <c r="C6" s="8"/>
      <c r="E6" s="17"/>
      <c r="F6" s="10"/>
      <c r="G6" s="10"/>
      <c r="H6" s="10"/>
      <c r="I6" s="11"/>
      <c r="J6" s="5"/>
      <c r="K6" s="5"/>
      <c r="L6" s="5"/>
      <c r="M6" s="5"/>
      <c r="N6" s="5"/>
      <c r="U6" s="12" t="s">
        <v>325</v>
      </c>
      <c r="V6" s="8" t="s">
        <v>506</v>
      </c>
      <c r="W6" s="8" t="s">
        <v>507</v>
      </c>
      <c r="X6" s="8" t="s">
        <v>508</v>
      </c>
      <c r="Y6" s="8" t="s">
        <v>509</v>
      </c>
      <c r="Z6" s="12" t="s">
        <v>510</v>
      </c>
      <c r="AA6" s="12" t="s">
        <v>511</v>
      </c>
      <c r="AB6" s="12" t="s">
        <v>512</v>
      </c>
      <c r="AC6" s="12" t="s">
        <v>513</v>
      </c>
      <c r="AD6" s="12" t="s">
        <v>514</v>
      </c>
      <c r="AE6" s="12" t="s">
        <v>515</v>
      </c>
      <c r="AF6" s="12" t="s">
        <v>516</v>
      </c>
      <c r="AG6" s="12" t="s">
        <v>517</v>
      </c>
      <c r="AH6" s="12" t="s">
        <v>518</v>
      </c>
      <c r="AI6" s="12" t="s">
        <v>519</v>
      </c>
      <c r="AJ6" s="12" t="s">
        <v>520</v>
      </c>
      <c r="AK6" s="12" t="s">
        <v>521</v>
      </c>
      <c r="AL6" s="12" t="s">
        <v>522</v>
      </c>
      <c r="AM6" s="12" t="s">
        <v>523</v>
      </c>
      <c r="AN6" s="12" t="s">
        <v>524</v>
      </c>
      <c r="AO6" s="12" t="s">
        <v>525</v>
      </c>
      <c r="AP6" s="12" t="s">
        <v>526</v>
      </c>
      <c r="AQ6" s="12" t="s">
        <v>527</v>
      </c>
      <c r="AR6" s="12" t="s">
        <v>528</v>
      </c>
      <c r="AS6" s="12" t="s">
        <v>529</v>
      </c>
      <c r="AT6" s="12" t="s">
        <v>530</v>
      </c>
      <c r="AV6" s="12" t="s">
        <v>531</v>
      </c>
      <c r="AW6" s="12" t="s">
        <v>532</v>
      </c>
      <c r="AX6" s="12" t="s">
        <v>533</v>
      </c>
      <c r="AY6" s="12" t="s">
        <v>534</v>
      </c>
      <c r="AZ6" s="12" t="s">
        <v>535</v>
      </c>
      <c r="BA6" s="12" t="s">
        <v>536</v>
      </c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  <c r="CP6" s="8"/>
      <c r="CQ6" s="8"/>
      <c r="CR6" s="8"/>
      <c r="CS6" s="8"/>
      <c r="CT6" s="8"/>
      <c r="CU6" s="8"/>
      <c r="CV6" s="8"/>
      <c r="CW6" s="8"/>
      <c r="CX6" s="8"/>
      <c r="CY6" s="8"/>
      <c r="CZ6" s="8"/>
      <c r="DA6" s="8"/>
      <c r="DB6" s="8"/>
      <c r="DC6" s="8"/>
      <c r="DD6" s="8"/>
      <c r="DE6" s="8"/>
      <c r="DF6" s="8"/>
      <c r="DG6" s="8"/>
      <c r="DH6" s="8"/>
      <c r="DI6" s="8"/>
      <c r="DJ6" s="8"/>
      <c r="DK6" s="8"/>
      <c r="DL6" s="8"/>
      <c r="DM6" s="8"/>
      <c r="DN6" s="8"/>
      <c r="DO6" s="8"/>
      <c r="DP6" s="8"/>
      <c r="DQ6" s="8"/>
      <c r="DR6" s="8"/>
      <c r="DS6" s="8"/>
      <c r="DT6" s="8"/>
      <c r="DU6" s="8"/>
      <c r="DV6" s="8"/>
      <c r="DW6" s="8"/>
      <c r="DX6" s="8"/>
      <c r="DY6" s="8"/>
      <c r="DZ6" s="8"/>
      <c r="EA6" s="8"/>
      <c r="EB6" s="8"/>
      <c r="EC6" s="8"/>
      <c r="ED6" s="8"/>
      <c r="EE6" s="8"/>
      <c r="EF6" s="8"/>
      <c r="EG6" s="8"/>
      <c r="EH6" s="8"/>
      <c r="EI6" s="8"/>
      <c r="EJ6" s="8"/>
      <c r="EK6" s="8"/>
      <c r="EL6" s="8"/>
      <c r="EM6" s="8"/>
      <c r="EN6" s="8"/>
      <c r="EO6" s="8"/>
      <c r="EP6" s="8"/>
      <c r="EQ6" s="8"/>
      <c r="ER6" s="8"/>
      <c r="ES6" s="8"/>
      <c r="ET6" s="8"/>
      <c r="EU6" s="8"/>
      <c r="EV6" s="8"/>
      <c r="EW6" s="8"/>
      <c r="EX6" s="8"/>
      <c r="EY6" s="8"/>
      <c r="EZ6" s="8"/>
      <c r="FA6" s="8"/>
      <c r="FB6" s="8"/>
      <c r="FC6" s="8"/>
      <c r="FD6" s="8"/>
      <c r="FE6" s="8"/>
      <c r="FF6" s="8"/>
      <c r="FG6" s="8"/>
      <c r="FH6" s="8"/>
      <c r="FI6" s="8"/>
      <c r="FJ6" s="8"/>
      <c r="FK6" s="8"/>
      <c r="FL6" s="8"/>
      <c r="FM6" s="8"/>
      <c r="FN6" s="8"/>
      <c r="FO6" s="8"/>
      <c r="FP6" s="8"/>
      <c r="FQ6" s="8"/>
      <c r="FR6" s="8"/>
      <c r="FS6" s="8"/>
      <c r="FT6" s="8"/>
      <c r="FU6" s="8"/>
      <c r="FV6" s="8"/>
      <c r="FW6" s="8"/>
      <c r="FX6" s="8"/>
      <c r="FY6" s="8"/>
      <c r="FZ6" s="8"/>
      <c r="GA6" s="8"/>
      <c r="GB6" s="8"/>
      <c r="GC6" s="8"/>
      <c r="GD6" s="8"/>
      <c r="GE6" s="8"/>
      <c r="GF6" s="8"/>
      <c r="GG6" s="8"/>
      <c r="GH6" s="8"/>
      <c r="GI6" s="8"/>
      <c r="GJ6" s="8"/>
      <c r="GK6" s="8"/>
      <c r="GL6" s="8"/>
      <c r="GM6" s="8"/>
      <c r="GN6" s="8"/>
      <c r="GO6" s="8"/>
      <c r="GP6" s="8"/>
      <c r="GQ6" s="8"/>
      <c r="GR6" s="8"/>
      <c r="GS6" s="8"/>
      <c r="GT6" s="8"/>
      <c r="GU6" s="8"/>
      <c r="GV6" s="8"/>
      <c r="GW6" s="8"/>
      <c r="GX6" s="8"/>
      <c r="GY6" s="8"/>
      <c r="GZ6" s="8"/>
      <c r="HA6" s="8"/>
      <c r="HB6" s="8"/>
      <c r="HC6" s="8"/>
      <c r="HD6" s="8"/>
      <c r="HE6" s="8"/>
      <c r="HF6" s="8"/>
      <c r="HG6" s="8"/>
      <c r="HH6" s="8"/>
      <c r="HI6" s="8"/>
      <c r="HJ6" s="8"/>
      <c r="HK6" s="8"/>
      <c r="HL6" s="8"/>
      <c r="HM6" s="8"/>
      <c r="HN6" s="8"/>
      <c r="HO6" s="8"/>
      <c r="HP6" s="8"/>
      <c r="HQ6" s="8"/>
      <c r="HR6" s="8"/>
      <c r="HS6" s="8"/>
      <c r="HT6" s="8"/>
      <c r="HU6" s="8"/>
      <c r="HV6" s="8"/>
      <c r="HW6" s="8"/>
      <c r="HX6" s="8"/>
      <c r="HY6" s="8"/>
      <c r="HZ6" s="8"/>
      <c r="IA6" s="8"/>
      <c r="IB6" s="8"/>
      <c r="IC6" s="8"/>
      <c r="ID6" s="8"/>
      <c r="IE6" s="8"/>
      <c r="IF6" s="8"/>
      <c r="IG6" s="8"/>
      <c r="IH6" s="8"/>
      <c r="II6" s="8"/>
      <c r="IJ6" s="8"/>
      <c r="IK6" s="8"/>
      <c r="IL6" s="8"/>
      <c r="IM6" s="8"/>
      <c r="IN6" s="8"/>
      <c r="IO6" s="8"/>
      <c r="IP6" s="8"/>
      <c r="IQ6" s="8"/>
      <c r="IR6" s="8"/>
      <c r="IS6" s="8"/>
      <c r="IT6" s="8"/>
      <c r="IU6" s="8"/>
      <c r="IV6" s="8"/>
      <c r="IW6" s="8"/>
      <c r="IX6" s="8"/>
      <c r="IY6" s="8"/>
      <c r="IZ6" s="8"/>
      <c r="JA6" s="8"/>
      <c r="JB6" s="8"/>
      <c r="JC6" s="8"/>
      <c r="JD6" s="8"/>
      <c r="JE6" s="8"/>
      <c r="JF6" s="8"/>
      <c r="JG6" s="8"/>
      <c r="JH6" s="8"/>
      <c r="JI6" s="8"/>
      <c r="JJ6" s="8"/>
      <c r="JK6" s="8"/>
      <c r="JL6" s="8"/>
      <c r="JM6" s="8"/>
      <c r="JN6" s="8"/>
      <c r="JO6" s="8"/>
      <c r="JP6" s="8"/>
      <c r="JQ6" s="8"/>
      <c r="JR6" s="8"/>
      <c r="JS6" s="8"/>
      <c r="JT6" s="8"/>
      <c r="JU6" s="8"/>
      <c r="JV6" s="8"/>
      <c r="JW6" s="8"/>
      <c r="JX6" s="8"/>
      <c r="JY6" s="8"/>
      <c r="JZ6" s="8"/>
      <c r="KA6" s="8"/>
      <c r="KB6" s="8"/>
      <c r="KC6" s="8"/>
      <c r="KD6" s="8"/>
      <c r="KE6" s="8"/>
      <c r="KF6" s="8"/>
      <c r="KG6" s="8"/>
      <c r="KH6" s="8"/>
      <c r="KI6" s="8"/>
      <c r="KJ6" s="8"/>
      <c r="KK6" s="8"/>
      <c r="KL6" s="8"/>
      <c r="KM6" s="8"/>
      <c r="KN6" s="8"/>
      <c r="KO6" s="8"/>
      <c r="KP6" s="8"/>
      <c r="KQ6" s="8"/>
      <c r="KR6" s="8"/>
      <c r="KS6" s="8"/>
      <c r="KT6" s="8"/>
      <c r="KU6" s="8"/>
      <c r="KV6" s="8"/>
    </row>
    <row r="7" ht="13.5" customHeight="1">
      <c r="A7" s="8"/>
      <c r="B7" s="8"/>
      <c r="C7" s="8"/>
      <c r="D7" s="18"/>
      <c r="E7" s="17"/>
      <c r="F7" s="10"/>
      <c r="G7" s="10"/>
      <c r="H7" s="10"/>
      <c r="I7" s="11"/>
      <c r="J7" s="5"/>
      <c r="K7" s="5"/>
      <c r="L7" s="5"/>
      <c r="M7" s="5"/>
      <c r="N7" s="5"/>
      <c r="O7" s="5"/>
      <c r="P7" s="5"/>
      <c r="Q7" s="8"/>
      <c r="R7" s="8"/>
      <c r="S7" s="8"/>
      <c r="T7" s="8"/>
      <c r="U7" s="12" t="s">
        <v>59</v>
      </c>
      <c r="V7" s="12" t="s">
        <v>537</v>
      </c>
      <c r="W7" s="12" t="s">
        <v>538</v>
      </c>
      <c r="X7" s="12" t="s">
        <v>539</v>
      </c>
      <c r="Y7" s="12" t="s">
        <v>120</v>
      </c>
      <c r="Z7" s="12" t="s">
        <v>540</v>
      </c>
      <c r="AA7" s="12" t="s">
        <v>118</v>
      </c>
      <c r="AB7" s="12" t="s">
        <v>117</v>
      </c>
      <c r="AC7" s="12" t="s">
        <v>135</v>
      </c>
      <c r="AD7" s="12" t="s">
        <v>150</v>
      </c>
      <c r="AE7" s="12" t="s">
        <v>541</v>
      </c>
      <c r="AF7" s="12" t="s">
        <v>542</v>
      </c>
      <c r="AG7" s="12" t="s">
        <v>543</v>
      </c>
      <c r="AH7" s="12" t="s">
        <v>544</v>
      </c>
      <c r="AI7" s="12" t="s">
        <v>545</v>
      </c>
      <c r="AJ7" s="12" t="s">
        <v>546</v>
      </c>
      <c r="AK7" s="12" t="s">
        <v>547</v>
      </c>
      <c r="AL7" s="12" t="s">
        <v>548</v>
      </c>
      <c r="AM7" s="12" t="s">
        <v>549</v>
      </c>
      <c r="AN7" s="12" t="s">
        <v>179</v>
      </c>
      <c r="AO7" s="12" t="s">
        <v>550</v>
      </c>
      <c r="AP7" s="12" t="s">
        <v>551</v>
      </c>
      <c r="AQ7" s="12" t="s">
        <v>197</v>
      </c>
      <c r="AR7" s="12" t="s">
        <v>552</v>
      </c>
      <c r="AS7" s="12" t="s">
        <v>553</v>
      </c>
      <c r="AT7" s="12" t="s">
        <v>119</v>
      </c>
      <c r="AU7" s="12" t="s">
        <v>198</v>
      </c>
      <c r="AV7" s="12" t="s">
        <v>554</v>
      </c>
      <c r="AW7" s="12" t="s">
        <v>555</v>
      </c>
      <c r="AX7" s="12" t="s">
        <v>556</v>
      </c>
      <c r="AY7" s="12" t="s">
        <v>557</v>
      </c>
      <c r="AZ7" s="12" t="s">
        <v>558</v>
      </c>
      <c r="BA7" s="12" t="s">
        <v>559</v>
      </c>
      <c r="BB7" s="12" t="s">
        <v>560</v>
      </c>
      <c r="BC7" s="12" t="s">
        <v>561</v>
      </c>
      <c r="BD7" s="12" t="s">
        <v>280</v>
      </c>
      <c r="BE7" s="12" t="s">
        <v>562</v>
      </c>
      <c r="BF7" s="12" t="s">
        <v>121</v>
      </c>
      <c r="BG7" s="12" t="s">
        <v>563</v>
      </c>
      <c r="BH7" s="12" t="s">
        <v>564</v>
      </c>
      <c r="BI7" s="12" t="s">
        <v>565</v>
      </c>
      <c r="BJ7" s="12" t="s">
        <v>566</v>
      </c>
      <c r="BK7" s="12" t="s">
        <v>567</v>
      </c>
      <c r="BL7" s="12" t="s">
        <v>568</v>
      </c>
      <c r="BM7" s="12" t="s">
        <v>569</v>
      </c>
      <c r="BN7" s="12" t="s">
        <v>570</v>
      </c>
      <c r="BO7" s="12" t="s">
        <v>571</v>
      </c>
      <c r="BP7" s="12" t="s">
        <v>572</v>
      </c>
      <c r="BQ7" s="12" t="s">
        <v>573</v>
      </c>
      <c r="BR7" s="12" t="s">
        <v>322</v>
      </c>
      <c r="BS7" s="12" t="s">
        <v>321</v>
      </c>
      <c r="BT7" s="12" t="s">
        <v>574</v>
      </c>
      <c r="BU7" s="12" t="s">
        <v>575</v>
      </c>
      <c r="BV7" s="12" t="s">
        <v>576</v>
      </c>
      <c r="BW7" s="12" t="s">
        <v>577</v>
      </c>
      <c r="BX7" s="12" t="s">
        <v>578</v>
      </c>
      <c r="BY7" s="7" t="s">
        <v>579</v>
      </c>
    </row>
    <row r="8" ht="13.5" customHeight="1">
      <c r="A8" s="8"/>
      <c r="B8" s="8"/>
      <c r="C8" s="8"/>
      <c r="D8" s="8"/>
      <c r="E8" s="10"/>
      <c r="F8" s="10"/>
      <c r="G8" s="10"/>
      <c r="H8" s="10"/>
      <c r="I8" s="11"/>
      <c r="J8" s="5"/>
      <c r="K8" s="5"/>
      <c r="L8" s="5"/>
      <c r="M8" s="5"/>
      <c r="N8" s="5"/>
      <c r="O8" s="5"/>
      <c r="P8" s="5"/>
      <c r="Q8" s="8"/>
      <c r="R8" s="8"/>
      <c r="S8" s="8"/>
      <c r="T8" s="8"/>
      <c r="U8" s="12" t="s">
        <v>325</v>
      </c>
      <c r="V8" s="12" t="s">
        <v>580</v>
      </c>
      <c r="W8" s="12" t="s">
        <v>581</v>
      </c>
      <c r="X8" s="12" t="s">
        <v>582</v>
      </c>
      <c r="Y8" s="12" t="s">
        <v>374</v>
      </c>
      <c r="Z8" s="12" t="s">
        <v>583</v>
      </c>
      <c r="AA8" s="12" t="s">
        <v>372</v>
      </c>
      <c r="AB8" s="12" t="s">
        <v>371</v>
      </c>
      <c r="AC8" s="12" t="s">
        <v>135</v>
      </c>
      <c r="AD8" s="12" t="s">
        <v>150</v>
      </c>
      <c r="AE8" s="12" t="s">
        <v>584</v>
      </c>
      <c r="AF8" s="12" t="s">
        <v>542</v>
      </c>
      <c r="AG8" s="12" t="s">
        <v>585</v>
      </c>
      <c r="AH8" s="12" t="s">
        <v>586</v>
      </c>
      <c r="AI8" s="12" t="s">
        <v>587</v>
      </c>
      <c r="AJ8" s="12" t="s">
        <v>588</v>
      </c>
      <c r="AK8" s="12" t="s">
        <v>589</v>
      </c>
      <c r="AL8" s="12" t="s">
        <v>590</v>
      </c>
      <c r="AM8" s="12" t="s">
        <v>591</v>
      </c>
      <c r="AN8" s="12" t="s">
        <v>397</v>
      </c>
      <c r="AO8" s="12" t="s">
        <v>592</v>
      </c>
      <c r="AP8" s="12" t="s">
        <v>593</v>
      </c>
      <c r="AQ8" s="12" t="s">
        <v>197</v>
      </c>
      <c r="AR8" s="12" t="s">
        <v>594</v>
      </c>
      <c r="AS8" s="12" t="s">
        <v>595</v>
      </c>
      <c r="AT8" s="12" t="s">
        <v>373</v>
      </c>
      <c r="AU8" s="12" t="s">
        <v>415</v>
      </c>
      <c r="AV8" s="12" t="s">
        <v>554</v>
      </c>
      <c r="AW8" s="12" t="s">
        <v>555</v>
      </c>
      <c r="AX8" s="12" t="s">
        <v>596</v>
      </c>
      <c r="AY8" s="12" t="s">
        <v>597</v>
      </c>
      <c r="AZ8" s="12" t="s">
        <v>353</v>
      </c>
      <c r="BA8" s="12" t="s">
        <v>598</v>
      </c>
      <c r="BB8" s="12" t="s">
        <v>599</v>
      </c>
      <c r="BC8" s="12" t="s">
        <v>600</v>
      </c>
      <c r="BD8" s="12" t="s">
        <v>280</v>
      </c>
      <c r="BE8" s="12" t="s">
        <v>601</v>
      </c>
      <c r="BF8" s="12" t="s">
        <v>375</v>
      </c>
      <c r="BG8" s="12" t="s">
        <v>602</v>
      </c>
      <c r="BH8" s="12" t="s">
        <v>564</v>
      </c>
      <c r="BI8" s="12" t="s">
        <v>565</v>
      </c>
      <c r="BJ8" s="12" t="s">
        <v>603</v>
      </c>
      <c r="BK8" s="12" t="s">
        <v>604</v>
      </c>
      <c r="BL8" s="12" t="s">
        <v>605</v>
      </c>
      <c r="BM8" s="12" t="s">
        <v>606</v>
      </c>
      <c r="BN8" s="12" t="s">
        <v>607</v>
      </c>
      <c r="BO8" s="12" t="s">
        <v>571</v>
      </c>
      <c r="BP8" s="12" t="s">
        <v>608</v>
      </c>
      <c r="BQ8" s="12" t="s">
        <v>609</v>
      </c>
      <c r="BR8" s="12" t="s">
        <v>473</v>
      </c>
      <c r="BS8" s="12" t="s">
        <v>472</v>
      </c>
      <c r="BT8" s="12" t="s">
        <v>610</v>
      </c>
      <c r="BU8" s="12" t="s">
        <v>352</v>
      </c>
      <c r="BV8" s="12" t="s">
        <v>611</v>
      </c>
      <c r="BW8" s="12" t="s">
        <v>612</v>
      </c>
      <c r="BX8" s="12" t="s">
        <v>613</v>
      </c>
      <c r="BY8" s="7" t="s">
        <v>614</v>
      </c>
    </row>
    <row r="9" ht="17.25" customHeight="1">
      <c r="A9" s="8"/>
      <c r="B9" s="19" t="str">
        <f>VLOOKUP($K$9,$U$7:$BY$8,57,0)</f>
        <v>Athlete's Data</v>
      </c>
      <c r="C9" s="20"/>
      <c r="D9" s="20"/>
      <c r="E9" s="10"/>
      <c r="F9" s="21"/>
      <c r="H9" s="8"/>
      <c r="K9" s="22" t="s">
        <v>325</v>
      </c>
      <c r="O9" s="5"/>
      <c r="P9" s="5"/>
      <c r="Q9" s="8"/>
      <c r="R9" s="8"/>
      <c r="S9" s="8"/>
      <c r="T9" s="8"/>
      <c r="U9" s="12"/>
    </row>
    <row r="10" ht="45.0" customHeight="1">
      <c r="A10" s="8"/>
      <c r="B10" s="23" t="s">
        <v>615</v>
      </c>
      <c r="C10" s="24" t="str">
        <f>VLOOKUP($K$9,$U$5:$AC$6,2,0)</f>
        <v>Family Name</v>
      </c>
      <c r="D10" s="24" t="str">
        <f>VLOOKUP($K$9,$U$5:$AC$6,3,0)</f>
        <v>Given Name</v>
      </c>
      <c r="E10" s="24" t="str">
        <f>VLOOKUP($K$9,$U$5:$AC$6,4,0)</f>
        <v>Gender</v>
      </c>
      <c r="F10" s="24" t="str">
        <f>VLOOKUP($K$9,$U$5:$AC$6,5,0)</f>
        <v>Sport Event</v>
      </c>
      <c r="G10" s="25" t="str">
        <f>VLOOKUP($K$9,$U$5:KV$6,8,0)</f>
        <v>FI ID Number</v>
      </c>
      <c r="H10" s="25" t="str">
        <f>VLOOKUP($K$9,$U$5:KV$6,9,0)</f>
        <v>World Rnk. Individual</v>
      </c>
      <c r="I10" s="25" t="str">
        <f>VLOOKUP($K$9,$U$5:KV$6,13,0)</f>
        <v>World Rnk. Mixed Team</v>
      </c>
      <c r="J10" s="25" t="str">
        <f>VLOOKUP($K$9,$U$5:KV$6,15,0)</f>
        <v>Personal Best</v>
      </c>
      <c r="K10" s="25" t="str">
        <f>VLOOKUP($K$9,$U$5:KV$6,16,0)</f>
        <v>Personal Best Championship</v>
      </c>
      <c r="L10" s="5"/>
      <c r="M10" s="5"/>
      <c r="N10" s="5"/>
      <c r="O10" s="5"/>
      <c r="P10" s="5"/>
      <c r="Q10" s="8"/>
      <c r="R10" s="8"/>
      <c r="S10" s="8"/>
      <c r="T10" s="8"/>
      <c r="U10" s="12"/>
    </row>
    <row r="11" ht="13.5" customHeight="1">
      <c r="A11" s="26"/>
      <c r="B11" s="27">
        <v>1.0</v>
      </c>
      <c r="C11" s="28"/>
      <c r="D11" s="28"/>
      <c r="E11" s="29"/>
      <c r="F11" s="30"/>
      <c r="G11" s="30"/>
      <c r="H11" s="30"/>
      <c r="I11" s="30"/>
      <c r="J11" s="30"/>
      <c r="K11" s="30"/>
      <c r="L11" s="5"/>
      <c r="M11" s="5"/>
      <c r="N11" s="5"/>
      <c r="O11" s="5"/>
      <c r="P11" s="5"/>
      <c r="Q11" s="26"/>
      <c r="R11" s="26"/>
      <c r="S11" s="26"/>
      <c r="T11" s="26"/>
      <c r="U11" s="12"/>
      <c r="V11" s="12" t="s">
        <v>616</v>
      </c>
      <c r="W11" s="12" t="s">
        <v>617</v>
      </c>
      <c r="X11" s="12" t="s">
        <v>618</v>
      </c>
      <c r="Y11" s="12" t="s">
        <v>619</v>
      </c>
      <c r="Z11" s="12" t="s">
        <v>620</v>
      </c>
      <c r="AA11" s="12" t="s">
        <v>621</v>
      </c>
      <c r="AB11" s="12" t="s">
        <v>622</v>
      </c>
      <c r="AC11" s="12" t="s">
        <v>623</v>
      </c>
      <c r="AD11" s="12" t="s">
        <v>624</v>
      </c>
      <c r="AE11" s="12" t="s">
        <v>625</v>
      </c>
      <c r="AF11" s="12" t="s">
        <v>626</v>
      </c>
      <c r="AG11" s="12" t="s">
        <v>627</v>
      </c>
      <c r="AH11" s="12" t="s">
        <v>628</v>
      </c>
      <c r="AI11" s="12" t="s">
        <v>629</v>
      </c>
      <c r="AJ11" s="12" t="s">
        <v>630</v>
      </c>
      <c r="AK11" s="12" t="s">
        <v>631</v>
      </c>
      <c r="AL11" s="12" t="s">
        <v>632</v>
      </c>
      <c r="AM11" s="12" t="s">
        <v>633</v>
      </c>
      <c r="AN11" s="12" t="s">
        <v>634</v>
      </c>
      <c r="AO11" s="12" t="s">
        <v>635</v>
      </c>
      <c r="AP11" s="12" t="s">
        <v>636</v>
      </c>
      <c r="AQ11" s="12" t="s">
        <v>637</v>
      </c>
      <c r="AR11" s="12" t="s">
        <v>638</v>
      </c>
      <c r="AS11" s="12" t="s">
        <v>639</v>
      </c>
      <c r="AT11" s="12" t="s">
        <v>640</v>
      </c>
      <c r="AU11" s="12" t="s">
        <v>641</v>
      </c>
      <c r="AV11" s="12" t="s">
        <v>642</v>
      </c>
      <c r="AW11" s="12" t="s">
        <v>643</v>
      </c>
      <c r="AX11" s="12" t="s">
        <v>644</v>
      </c>
      <c r="AY11" s="12" t="s">
        <v>645</v>
      </c>
      <c r="AZ11" s="12" t="s">
        <v>646</v>
      </c>
      <c r="BA11" s="12" t="s">
        <v>647</v>
      </c>
      <c r="BB11" s="12" t="s">
        <v>648</v>
      </c>
      <c r="BC11" s="12" t="s">
        <v>649</v>
      </c>
      <c r="BD11" s="12" t="s">
        <v>650</v>
      </c>
      <c r="BE11" s="12" t="s">
        <v>651</v>
      </c>
      <c r="BF11" s="12" t="s">
        <v>652</v>
      </c>
      <c r="BG11" s="12" t="s">
        <v>653</v>
      </c>
      <c r="BH11" s="12" t="s">
        <v>654</v>
      </c>
      <c r="BI11" s="12" t="s">
        <v>655</v>
      </c>
      <c r="BJ11" s="12" t="s">
        <v>656</v>
      </c>
      <c r="BK11" s="12" t="s">
        <v>657</v>
      </c>
      <c r="BL11" s="12" t="s">
        <v>658</v>
      </c>
      <c r="BM11" s="12" t="s">
        <v>659</v>
      </c>
      <c r="BN11" s="12" t="s">
        <v>660</v>
      </c>
      <c r="BO11" s="12" t="s">
        <v>661</v>
      </c>
      <c r="BP11" s="12" t="s">
        <v>662</v>
      </c>
      <c r="BQ11" s="12" t="s">
        <v>663</v>
      </c>
      <c r="BR11" s="12" t="s">
        <v>664</v>
      </c>
      <c r="BS11" s="12" t="s">
        <v>665</v>
      </c>
      <c r="BT11" s="12" t="s">
        <v>666</v>
      </c>
      <c r="BU11" s="12" t="s">
        <v>667</v>
      </c>
      <c r="BV11" s="12" t="s">
        <v>668</v>
      </c>
      <c r="BW11" s="12" t="s">
        <v>669</v>
      </c>
      <c r="BX11" s="7" t="s">
        <v>670</v>
      </c>
    </row>
    <row r="12" ht="13.5" customHeight="1">
      <c r="A12" s="8"/>
      <c r="B12" s="31">
        <v>2.0</v>
      </c>
      <c r="C12" s="32"/>
      <c r="D12" s="32"/>
      <c r="E12" s="33"/>
      <c r="F12" s="33"/>
      <c r="G12" s="33"/>
      <c r="H12" s="33"/>
      <c r="I12" s="33"/>
      <c r="J12" s="33"/>
      <c r="K12" s="33"/>
      <c r="L12" s="5"/>
      <c r="M12" s="5"/>
      <c r="N12" s="5"/>
      <c r="O12" s="5"/>
      <c r="P12" s="5"/>
      <c r="Q12" s="8"/>
      <c r="R12" s="8"/>
      <c r="S12" s="8"/>
      <c r="T12" s="8"/>
      <c r="U12" s="12"/>
      <c r="V12" s="8" t="str">
        <f>VLOOKUP($K$9,$U$3:$KT$4,257,0)</f>
        <v>Recurve Individual</v>
      </c>
      <c r="W12" s="8" t="str">
        <f>VLOOKUP($K$9,$U$3:$KT$4,200,0)</f>
        <v>Freestyle</v>
      </c>
      <c r="X12" s="8" t="str">
        <f>VLOOKUP($K$9,$U$3:$KT$4,30,0)</f>
        <v>100m</v>
      </c>
      <c r="Y12" s="8" t="str">
        <f>VLOOKUP($K$9,$U$3:$KT$4,62,0)</f>
        <v>Baseball</v>
      </c>
      <c r="Z12" s="8" t="str">
        <f>VLOOKUP($K$9,$U$3:$KT$4,56,0)</f>
        <v>Individual</v>
      </c>
      <c r="AA12" s="8" t="str">
        <f>VLOOKUP($K$9,$U$3:$KT$4,60,0)</f>
        <v>Basketball 3x3</v>
      </c>
      <c r="AB12" s="8" t="str">
        <f>VLOOKUP($K$9,$U$3:$KT$4,59,0)</f>
        <v>Basketball</v>
      </c>
      <c r="AC12" s="8" t="str">
        <f>VLOOKUP($K$9,$U$3:$KT$4,79,0)</f>
        <v>Breaking</v>
      </c>
      <c r="AD12" s="8" t="str">
        <f>VLOOKUP($K$9,$U$3:$KT$4,93,0)</f>
        <v>BMX Freestyle</v>
      </c>
      <c r="AE12" s="8" t="str">
        <f>VLOOKUP($K$9,$U$3:$KT$4,257,0)</f>
        <v>Recurve Individual</v>
      </c>
      <c r="AF12" s="8" t="str">
        <f>VLOOKUP($K$9,$U$3:$KT$4,64,0)</f>
        <v>Individual</v>
      </c>
      <c r="AG12" s="8" t="str">
        <f>VLOOKUP($K$9,$U$3:$KT$4,110,0)</f>
        <v>Speed</v>
      </c>
      <c r="AH12" s="8" t="str">
        <f>VLOOKUP($K$9,$U$3:$KT$4,96,0)</f>
        <v>Time Trial</v>
      </c>
      <c r="AI12" s="8" t="str">
        <f>VLOOKUP($K$9,$U$3:$KT$4,90,0)</f>
        <v>K1</v>
      </c>
      <c r="AJ12" s="8" t="str">
        <f>VLOOKUP($K$9,$U$3:$KT$4,80,0)</f>
        <v>MK1 1,000m</v>
      </c>
      <c r="AK12" s="8" t="str">
        <f>VLOOKUP($K$9,$U$3:$KT$4,98,0)</f>
        <v>Racing</v>
      </c>
      <c r="AL12" s="8" t="str">
        <f>VLOOKUP($K$9,$U$3:$KT$4,2,0)</f>
        <v>1m Trampoline</v>
      </c>
      <c r="AM12" s="8" t="str">
        <f>VLOOKUP($K$9,$U$3:$KT$4,104,0)</f>
        <v>Dressing Individual</v>
      </c>
      <c r="AN12" s="8" t="str">
        <f>VLOOKUP($K$9,$U$3:$KT$4,123,0)</f>
        <v>Football</v>
      </c>
      <c r="AO12" s="8" t="str">
        <f>VLOOKUP($K$9,$U$3:$KT$4,112,0)</f>
        <v>Épée Individual</v>
      </c>
      <c r="AP12" s="8" t="str">
        <f>VLOOKUP($K$9,$U$3:$KT$4,124,0)</f>
        <v>Team</v>
      </c>
      <c r="AQ12" s="8" t="str">
        <f>VLOOKUP($K$9,$U$3:$KT$4,144,0)</f>
        <v>Golf</v>
      </c>
      <c r="AR12" s="8" t="str">
        <f>VLOOKUP($K$9,$U$3:$KT$4,134,0)</f>
        <v>All Around</v>
      </c>
      <c r="AS12" s="8" t="str">
        <f>VLOOKUP($K$9,$U$3:$KT$4,142,0)</f>
        <v>Individual</v>
      </c>
      <c r="AT12" s="8" t="str">
        <f>VLOOKUP($K$9,$U$3:$KT$4,61,0)</f>
        <v>Handball</v>
      </c>
      <c r="AU12" s="8" t="str">
        <f>VLOOKUP($K$9,$U$3:$KT$4,145,0)</f>
        <v>Field Hockey</v>
      </c>
      <c r="AV12" s="8" t="str">
        <f>VLOOKUP($K$9,$U$3:$KT$4,146,0)</f>
        <v>-60 Kg</v>
      </c>
      <c r="AW12" s="8" t="str">
        <f>VLOOKUP($K$9,$U$3:$KT$4,161,0)</f>
        <v>Kumite M -60 Kg</v>
      </c>
      <c r="AX12" s="8" t="str">
        <f>VLOOKUP($K$9,$U$3:$KT$4,211,0)</f>
        <v>Individual</v>
      </c>
      <c r="AY12" s="8" t="str">
        <f>VLOOKUP($K$9,$U$3:$KT$4,95,0)</f>
        <v>Cross-Country</v>
      </c>
      <c r="AZ12" s="8" t="str">
        <f>VLOOKUP($K$9,$U$3:$KT$4,29,0)</f>
        <v>Open Water Swimming</v>
      </c>
      <c r="BA12" s="8" t="str">
        <f>VLOOKUP($K$9,$U$3:$KT$4,207,0)</f>
        <v>Trinquet Doubles</v>
      </c>
      <c r="BB12" s="8" t="str">
        <f>VLOOKUP($K$9,$U$3:$KT$4,218,0)</f>
        <v>M1x</v>
      </c>
      <c r="BC12" s="8" t="str">
        <f>VLOOKUP($K$9,$U$3:$KT$4,214,0)</f>
        <v>Individual</v>
      </c>
      <c r="BD12" s="8" t="str">
        <f>VLOOKUP($K$9,$U$3:$KT$4,231,0)</f>
        <v>Rugby 7</v>
      </c>
      <c r="BE12" s="8" t="str">
        <f>VLOOKUP($K$9,$U$3:$KT$4,275,0)</f>
        <v>Windsurfing (IQFOIL)</v>
      </c>
      <c r="BF12" s="8" t="str">
        <f>VLOOKUP($K$9,$U$3:$KT$4,63,0)</f>
        <v>Softball</v>
      </c>
      <c r="BG12" s="8" t="str">
        <f>VLOOKUP($K$9,$U$3:$KT$4,263,0)</f>
        <v>50m rifle 3 positions </v>
      </c>
      <c r="BH12" s="8" t="str">
        <f>VLOOKUP($K$9,$U$3:$KT$4,205,0)</f>
        <v>Street</v>
      </c>
      <c r="BI12" s="8" t="str">
        <f>VLOOKUP($K$9,$U$3:$KT$4,232,0)</f>
        <v>Individual</v>
      </c>
      <c r="BJ12" s="8" t="str">
        <f>VLOOKUP($K$9,$U$3:$KT$4,236,0)</f>
        <v>Shortboard</v>
      </c>
      <c r="BK12" s="8" t="str">
        <f>VLOOKUP($K$9,$U$3:$KT$4,201,0)</f>
        <v>200m time trial</v>
      </c>
      <c r="BL12" s="8" t="str">
        <f>VLOOKUP($K$9,$U$3:$KT$4,27,0)</f>
        <v>Doubles</v>
      </c>
      <c r="BM12" s="8" t="str">
        <f>VLOOKUP($K$9,$U$3:$KT$4,7,0)</f>
        <v>50 m freestyle</v>
      </c>
      <c r="BN12" s="8" t="str">
        <f>VLOOKUP($K$9,$U$3:$KT$4,250,0)</f>
        <v>Individual</v>
      </c>
      <c r="BO12" s="8" t="str">
        <f>VLOOKUP($K$9,$U$3:$KT$4,240,0)</f>
        <v>M Kyorugi -58 Kg</v>
      </c>
      <c r="BP12" s="8" t="str">
        <f>VLOOKUP($K$9,$U$3:$KT$4,273,0)</f>
        <v>Individual</v>
      </c>
      <c r="BQ12" s="8" t="str">
        <f>VLOOKUP($K$9,$U$3:$KT$4,253,0)</f>
        <v>Individual</v>
      </c>
      <c r="BR12" s="8" t="str">
        <f>VLOOKUP($K$9,$U$3:$KT$4,286,0)</f>
        <v>Beach Volleyball</v>
      </c>
      <c r="BS12" s="8" t="str">
        <f>VLOOKUP($K$9,$U$3:$KT$4,285,0)</f>
        <v>Volleyball</v>
      </c>
      <c r="BT12" s="8" t="str">
        <f>VLOOKUP($K$9,$U$3:$KT$4,172,0)</f>
        <v>M 61 Kg</v>
      </c>
      <c r="BU12" s="8" t="str">
        <f>VLOOKUP($K$9,$U$3:$KT$4,28,0)</f>
        <v>Waterpolo</v>
      </c>
      <c r="BV12" s="8" t="str">
        <f>VLOOKUP($K$9,$U$3:$KT$4,182,0)</f>
        <v>Grecoroman 60 Kg</v>
      </c>
      <c r="BW12" s="8" t="str">
        <f>VLOOKUP($K$9,$U$3:$KT$4,118,0)</f>
        <v>Figures</v>
      </c>
      <c r="BX12" s="8" t="str">
        <f>VLOOKUP($K$9,$U$3:$KV$4,287,0)</f>
        <v>Male</v>
      </c>
    </row>
    <row r="13" ht="13.5" customHeight="1">
      <c r="A13" s="8"/>
      <c r="B13" s="27">
        <v>3.0</v>
      </c>
      <c r="C13" s="34"/>
      <c r="D13" s="34"/>
      <c r="E13" s="35"/>
      <c r="F13" s="35"/>
      <c r="G13" s="35"/>
      <c r="H13" s="35"/>
      <c r="I13" s="35"/>
      <c r="J13" s="35"/>
      <c r="K13" s="35"/>
      <c r="L13" s="5"/>
      <c r="M13" s="5"/>
      <c r="N13" s="5"/>
      <c r="O13" s="5"/>
      <c r="P13" s="5"/>
      <c r="Q13" s="8"/>
      <c r="R13" s="8"/>
      <c r="S13" s="8"/>
      <c r="T13" s="8"/>
      <c r="U13" s="12"/>
      <c r="V13" s="8" t="str">
        <f>VLOOKUP($K$9,$U$3:$KT$4,258,0)</f>
        <v>Compound Individual</v>
      </c>
      <c r="X13" s="8" t="str">
        <f>VLOOKUP($K$9,$U$3:$KT$4,31,0)</f>
        <v>200m</v>
      </c>
      <c r="Z13" s="8" t="str">
        <f>VLOOKUP($K$9,$U$3:$KT$4,57,0)</f>
        <v>Doubles</v>
      </c>
      <c r="AF13" s="8" t="str">
        <f>VLOOKUP($K$9,$U$3:$KT$4,65,0)</f>
        <v>Double</v>
      </c>
      <c r="AG13" s="8" t="str">
        <f>VLOOKUP($K$9,$U$3:$KT$4,111,0)</f>
        <v>Boulder &amp; Lead</v>
      </c>
      <c r="AH13" s="8" t="str">
        <f>VLOOKUP($K$9,$U$3:$KT$4,97,0)</f>
        <v>Road</v>
      </c>
      <c r="AI13" s="8" t="str">
        <f>VLOOKUP($K$9,$U$3:$KT$4,91,0)</f>
        <v>C1</v>
      </c>
      <c r="AJ13" s="8" t="str">
        <f>VLOOKUP($K$9,$U$3:$KT$4,81,0)</f>
        <v>MK2 500m</v>
      </c>
      <c r="AK13" s="8" t="str">
        <f>VLOOKUP($K$9,$U$3:$KT$4,99,0)</f>
        <v>Keirin</v>
      </c>
      <c r="AL13" s="8" t="str">
        <f>VLOOKUP($K$9,$U$3:$KT$4,3,0)</f>
        <v>3m Trampoline</v>
      </c>
      <c r="AM13" s="8" t="str">
        <f>VLOOKUP($K$9,$U$3:$KT$4,105,0)</f>
        <v>Dressing Team</v>
      </c>
      <c r="AO13" s="8" t="str">
        <f>VLOOKUP($K$9,$U$3:$KT$4,113,0)</f>
        <v>Foil Individual</v>
      </c>
      <c r="AP13" s="8" t="str">
        <f>VLOOKUP($K$9,$U$3:$KT$4,125,0)</f>
        <v>All Around</v>
      </c>
      <c r="AR13" s="8" t="str">
        <f>VLOOKUP($K$9,$U$3:$KT$4,135,0)</f>
        <v>Hoop</v>
      </c>
      <c r="AS13" s="8" t="str">
        <f>VLOOKUP($K$9,$U$3:$KT$4,143,0)</f>
        <v>Synchronized</v>
      </c>
      <c r="AV13" s="8" t="str">
        <f>VLOOKUP($K$9,$U$3:$KT$4,147,0)</f>
        <v>M -66 Kg</v>
      </c>
      <c r="AW13" s="8" t="str">
        <f>VLOOKUP($K$9,$U$3:$KT$4,162,0)</f>
        <v>Kumite M -67 Kg</v>
      </c>
      <c r="AX13" s="8" t="str">
        <f>VLOOKUP($K$9,$U$3:$KT$4,212,0)</f>
        <v>Relay</v>
      </c>
      <c r="BA13" s="8" t="str">
        <f>VLOOKUP($K$9,$U$3:$KT$4,208,0)</f>
        <v>Paleta Gomme</v>
      </c>
      <c r="BB13" s="8" t="str">
        <f>VLOOKUP($K$9,$U$3:$KT$4,219,0)</f>
        <v>M2x</v>
      </c>
      <c r="BC13" s="8" t="str">
        <f>VLOOKUP($K$9,$U$3:$KT$4,215,0)</f>
        <v>Double</v>
      </c>
      <c r="BE13" s="8" t="str">
        <f>VLOOKUP($K$9,$U$3:$KT$4,276,0)</f>
        <v>Dinghy (Ilca 7)</v>
      </c>
      <c r="BG13" s="8" t="str">
        <f>VLOOKUP($K$9,$U$3:$KT$4,264,0)</f>
        <v>10m air rifle</v>
      </c>
      <c r="BH13" s="8" t="str">
        <f>VLOOKUP($K$9,$U$3:$KT$4,206,0)</f>
        <v>Park</v>
      </c>
      <c r="BI13" s="8" t="str">
        <f>VLOOKUP($K$9,$U$3:$KT$4,233,0)</f>
        <v>Double</v>
      </c>
      <c r="BJ13" s="8" t="str">
        <f>VLOOKUP($K$9,$U$3:$KT$4,237,0)</f>
        <v>Sup Surf</v>
      </c>
      <c r="BK13" s="8" t="str">
        <f>VLOOKUP($K$9,$U$3:$KT$4,202,0)</f>
        <v>500m + distance</v>
      </c>
      <c r="BL13" s="8" t="str">
        <f>VLOOKUP($K$9,$U$3:$KT$4,26,0)</f>
        <v>Team</v>
      </c>
      <c r="BM13" s="8" t="str">
        <f>VLOOKUP($K$9,$U$3:$KT$4,8,0)</f>
        <v>100 m freestyle</v>
      </c>
      <c r="BN13" s="8" t="str">
        <f>VLOOKUP($K$9,$U$3:$KT$4,251,0)</f>
        <v>Double</v>
      </c>
      <c r="BO13" s="8" t="str">
        <f>VLOOKUP($K$9,$U$3:$KT$4,241,0)</f>
        <v>M Kyorugi -68 Kg</v>
      </c>
      <c r="BP13" s="8" t="str">
        <f>VLOOKUP($K$9,$U$3:$KT$4,274,0)</f>
        <v>Mixed relay</v>
      </c>
      <c r="BQ13" s="8" t="str">
        <f>VLOOKUP($K$9,$U$3:$KT$4,254,0)</f>
        <v>Team</v>
      </c>
      <c r="BT13" s="8" t="str">
        <f>VLOOKUP($K$9,$U$3:$KT$4,173,0)</f>
        <v>M 73 Kg</v>
      </c>
      <c r="BV13" s="8" t="str">
        <f>VLOOKUP($K$9,$U$3:$KT$4,183,0)</f>
        <v>Grecoroman 67 Kg</v>
      </c>
      <c r="BW13" s="8" t="str">
        <f>VLOOKUP($K$9,$U$3:$KT$4,119,0)</f>
        <v>Slalom</v>
      </c>
      <c r="BX13" s="8" t="str">
        <f>VLOOKUP($K$9,$U$3:$KV$4,288,0)</f>
        <v>Female</v>
      </c>
    </row>
    <row r="14" ht="13.5" customHeight="1">
      <c r="A14" s="8"/>
      <c r="B14" s="31">
        <v>4.0</v>
      </c>
      <c r="C14" s="32"/>
      <c r="D14" s="32"/>
      <c r="E14" s="33"/>
      <c r="F14" s="33"/>
      <c r="G14" s="33"/>
      <c r="H14" s="33"/>
      <c r="I14" s="33"/>
      <c r="J14" s="33"/>
      <c r="K14" s="33"/>
      <c r="L14" s="5"/>
      <c r="M14" s="5"/>
      <c r="N14" s="5"/>
      <c r="O14" s="5"/>
      <c r="P14" s="5"/>
      <c r="Q14" s="8"/>
      <c r="R14" s="8"/>
      <c r="S14" s="8"/>
      <c r="T14" s="8"/>
      <c r="U14" s="12"/>
      <c r="V14" s="8" t="str">
        <f>VLOOKUP($K$9,$U$3:$KT$4,259,0)</f>
        <v>Recurve Team</v>
      </c>
      <c r="X14" s="8" t="str">
        <f>VLOOKUP($K$9,$U$3:$KT$4,32,0)</f>
        <v>400m</v>
      </c>
      <c r="Z14" s="8" t="str">
        <f>VLOOKUP($K$9,$U$3:$KT$4,58,0)</f>
        <v>Mixed doubles</v>
      </c>
      <c r="AF14" s="8"/>
      <c r="AI14" s="8" t="str">
        <f>VLOOKUP($K$9,$U$3:$KT$4,92,0)</f>
        <v>K1 Extreme</v>
      </c>
      <c r="AJ14" s="8" t="str">
        <f>VLOOKUP($K$9,$U$3:$KT$4,82,0)</f>
        <v>MK4 500m</v>
      </c>
      <c r="AK14" s="8" t="str">
        <f>VLOOKUP($K$9,$U$3:$KT$4,100,0)</f>
        <v>Omnium</v>
      </c>
      <c r="AL14" s="8" t="str">
        <f>VLOOKUP($K$9,$U$3:$KT$4,4,0)</f>
        <v>10m Platform</v>
      </c>
      <c r="AM14" s="8" t="str">
        <f>VLOOKUP($K$9,$U$3:$KT$4,106,0)</f>
        <v>Eventing Individual</v>
      </c>
      <c r="AO14" s="8" t="str">
        <f>VLOOKUP($K$9,$U$3:$KT$4,114,0)</f>
        <v>Sabre Individual</v>
      </c>
      <c r="AP14" s="8" t="str">
        <f>VLOOKUP($K$9,$U$3:$KT$4,126,0)</f>
        <v>Floor Excercise</v>
      </c>
      <c r="AR14" s="8" t="str">
        <f>VLOOKUP($K$9,$U$3:$KT$4,136,0)</f>
        <v>Ball</v>
      </c>
      <c r="AV14" s="8" t="str">
        <f>VLOOKUP($K$9,$U$3:$KT$4,148,0)</f>
        <v>M -73 Kg</v>
      </c>
      <c r="AW14" s="8" t="str">
        <f>VLOOKUP($K$9,$U$3:$KT$4,163,0)</f>
        <v>Kumite M -75 Kg</v>
      </c>
      <c r="AX14" s="8" t="str">
        <f>VLOOKUP($K$9,$U$3:$KT$4,213,0)</f>
        <v>Mixed relay</v>
      </c>
      <c r="BA14" s="8" t="str">
        <f>VLOOKUP($K$9,$U$3:$KT$4,209,0)</f>
        <v>Frontenis -Dobles (Fronton)</v>
      </c>
      <c r="BB14" s="8" t="str">
        <f>VLOOKUP($K$9,$U$3:$KT$4,220,0)</f>
        <v>M4x</v>
      </c>
      <c r="BC14" s="8" t="str">
        <f>VLOOKUP($K$9,$U$3:$KT$4,216,0)</f>
        <v>Team</v>
      </c>
      <c r="BE14" s="8" t="str">
        <f>VLOOKUP($K$9,$U$3:$KT$4,277,0)</f>
        <v>Dinghy (Ilca 6)</v>
      </c>
      <c r="BG14" s="8" t="str">
        <f>VLOOKUP($K$9,$U$3:$KT$4,265,0)</f>
        <v>10m air pistol</v>
      </c>
      <c r="BI14" s="8" t="str">
        <f>VLOOKUP($K$9,$U$3:$KT$4,234,0)</f>
        <v>Team</v>
      </c>
      <c r="BJ14" s="8" t="str">
        <f>VLOOKUP($K$9,$U$3:$KT$4,238,0)</f>
        <v>Sup Race</v>
      </c>
      <c r="BK14" s="8" t="str">
        <f>VLOOKUP($K$9,$U$3:$KT$4,203,0)</f>
        <v>10000m Elimination</v>
      </c>
      <c r="BM14" s="8" t="str">
        <f>VLOOKUP($K$9,$U$3:$KT$4,9,0)</f>
        <v>200 m freestyle</v>
      </c>
      <c r="BN14" s="8" t="str">
        <f>VLOOKUP($K$9,$U$3:$KT$4,252,0)</f>
        <v>Mixed doubles</v>
      </c>
      <c r="BO14" s="8" t="str">
        <f>VLOOKUP($K$9,$U$3:$KT$4,242,0)</f>
        <v>M Kyorugi -80 Kg</v>
      </c>
      <c r="BQ14" s="8" t="str">
        <f>VLOOKUP($K$9,$U$3:$KT$4,255,0)</f>
        <v>Double</v>
      </c>
      <c r="BT14" s="8" t="str">
        <f>VLOOKUP($K$9,$U$3:$KT$4,174,0)</f>
        <v>M 89 Kg</v>
      </c>
      <c r="BV14" s="8" t="str">
        <f>VLOOKUP($K$9,$U$3:$KT$4,184,0)</f>
        <v>Grecoroman 77 Kg</v>
      </c>
      <c r="BW14" s="8" t="str">
        <f>VLOOKUP($K$9,$U$3:$KT$4,120,0)</f>
        <v>Leap</v>
      </c>
    </row>
    <row r="15" ht="13.5" customHeight="1">
      <c r="A15" s="8"/>
      <c r="B15" s="27">
        <v>5.0</v>
      </c>
      <c r="C15" s="34"/>
      <c r="D15" s="34"/>
      <c r="E15" s="35"/>
      <c r="F15" s="35"/>
      <c r="G15" s="35"/>
      <c r="H15" s="35"/>
      <c r="I15" s="35"/>
      <c r="J15" s="35"/>
      <c r="K15" s="35"/>
      <c r="L15" s="5"/>
      <c r="M15" s="5"/>
      <c r="N15" s="5"/>
      <c r="O15" s="5"/>
      <c r="P15" s="5"/>
      <c r="Q15" s="8"/>
      <c r="R15" s="8"/>
      <c r="S15" s="8"/>
      <c r="T15" s="8"/>
      <c r="U15" s="12"/>
      <c r="V15" s="8" t="str">
        <f>VLOOKUP($K$9,$U$3:$KT$4,260,0)</f>
        <v>Compound Team</v>
      </c>
      <c r="X15" s="8" t="str">
        <f>VLOOKUP($K$9,$U$3:$KT$4,33,0)</f>
        <v>800m</v>
      </c>
      <c r="Z15" s="8"/>
      <c r="AI15" s="8"/>
      <c r="AJ15" s="8" t="str">
        <f>VLOOKUP($K$9,$U$3:$KT$4,83,0)</f>
        <v>MC1 1,000m</v>
      </c>
      <c r="AK15" s="8" t="str">
        <f>VLOOKUP($K$9,$U$3:$KT$4,101,0)</f>
        <v>Team Racing</v>
      </c>
      <c r="AL15" s="8" t="str">
        <f>VLOOKUP($K$9,$U$3:$KT$4,5,0)</f>
        <v>Synchronized 3m Trampoline</v>
      </c>
      <c r="AM15" s="8" t="str">
        <f>VLOOKUP($K$9,$U$3:$KT$4,107,0)</f>
        <v>Eventing Team</v>
      </c>
      <c r="AO15" s="8" t="str">
        <f>VLOOKUP($K$9,$U$3:$KT$4,115,0)</f>
        <v>Épée Team</v>
      </c>
      <c r="AP15" s="8" t="str">
        <f>VLOOKUP($K$9,$U$3:$KT$4,127,0)</f>
        <v>Pommel Horse</v>
      </c>
      <c r="AR15" s="8" t="str">
        <f>VLOOKUP($K$9,$U$3:$KT$4,137,0)</f>
        <v>Clubs</v>
      </c>
      <c r="AV15" s="8" t="str">
        <f>VLOOKUP($K$9,$U$3:$KT$4,149,0)</f>
        <v>M -81 Kg</v>
      </c>
      <c r="AW15" s="8" t="str">
        <f>VLOOKUP($K$9,$U$3:$KT$4,164,0)</f>
        <v>Kumite M -84 Kg</v>
      </c>
      <c r="BA15" s="8" t="str">
        <f>VLOOKUP($K$9,$U$3:$KT$4,210,0)</f>
        <v>Frontball</v>
      </c>
      <c r="BB15" s="8" t="str">
        <f>VLOOKUP($K$9,$U$3:$KT$4,221,0)</f>
        <v>M2-</v>
      </c>
      <c r="BC15" s="8" t="str">
        <f>VLOOKUP($K$9,$U$3:$KT$4,217,0)</f>
        <v>Mixed doubles</v>
      </c>
      <c r="BE15" s="8" t="str">
        <f>VLOOKUP($K$9,$U$3:$KT$4,278,0)</f>
        <v>Sunfish</v>
      </c>
      <c r="BG15" s="8" t="str">
        <f>VLOOKUP($K$9,$U$3:$KT$4,266,0)</f>
        <v>25m rapid fire pístol</v>
      </c>
      <c r="BI15" s="8" t="str">
        <f>VLOOKUP($K$9,$U$3:$KT$4,235,0)</f>
        <v>Mixed doubles</v>
      </c>
      <c r="BJ15" s="8" t="str">
        <f>VLOOKUP($K$9,$U$3:$KT$4,239,0)</f>
        <v>Longboard</v>
      </c>
      <c r="BK15" s="8" t="str">
        <f>VLOOKUP($K$9,$U$3:$KT$4,204,0)</f>
        <v>1000M sprint</v>
      </c>
      <c r="BM15" s="8" t="str">
        <f>VLOOKUP($K$9,$U$3:$KT$4,10,0)</f>
        <v>400 m freestyle</v>
      </c>
      <c r="BO15" s="8" t="str">
        <f>VLOOKUP($K$9,$U$3:$KT$4,243,0)</f>
        <v>M Kyorugi +80 Kg</v>
      </c>
      <c r="BQ15" s="8" t="str">
        <f>VLOOKUP($K$9,$U$3:$KT$4,256,0)</f>
        <v>Mixed doubles</v>
      </c>
      <c r="BT15" s="8" t="str">
        <f>VLOOKUP($K$9,$U$3:$KT$4,175,0)</f>
        <v>M 102 Kg</v>
      </c>
      <c r="BV15" s="8" t="str">
        <f>VLOOKUP($K$9,$U$3:$KT$4,185,0)</f>
        <v>Grecoroman 87 Kg</v>
      </c>
      <c r="BW15" s="8" t="str">
        <f>VLOOKUP($K$9,$U$3:$KT$4,121,0)</f>
        <v>Overall</v>
      </c>
    </row>
    <row r="16" ht="13.5" customHeight="1">
      <c r="A16" s="8"/>
      <c r="B16" s="31">
        <v>6.0</v>
      </c>
      <c r="C16" s="32"/>
      <c r="D16" s="32"/>
      <c r="E16" s="33"/>
      <c r="F16" s="33"/>
      <c r="G16" s="33"/>
      <c r="H16" s="33"/>
      <c r="I16" s="33"/>
      <c r="J16" s="33"/>
      <c r="K16" s="33"/>
      <c r="L16" s="5"/>
      <c r="M16" s="5"/>
      <c r="N16" s="5"/>
      <c r="O16" s="5"/>
      <c r="P16" s="5"/>
      <c r="Q16" s="8"/>
      <c r="R16" s="8"/>
      <c r="S16" s="8"/>
      <c r="T16" s="8"/>
      <c r="U16" s="12"/>
      <c r="V16" s="8" t="str">
        <f>VLOOKUP($K$9,$U$3:$KT$4,261,0)</f>
        <v>Recurve Mixed</v>
      </c>
      <c r="X16" s="8" t="str">
        <f>VLOOKUP($K$9,$U$3:$KT$4,34,0)</f>
        <v>1500m</v>
      </c>
      <c r="AI16" s="8"/>
      <c r="AJ16" s="8" t="str">
        <f>VLOOKUP($K$9,$U$3:$KT$4,84,0)</f>
        <v>MC2 500m</v>
      </c>
      <c r="AK16" s="8" t="str">
        <f>VLOOKUP($K$9,$U$3:$KT$4,102,0)</f>
        <v>Team Pursuit</v>
      </c>
      <c r="AL16" s="8" t="str">
        <f>VLOOKUP($K$9,$U$3:$KT$4,6,0)</f>
        <v>Synchronized 10m Platform</v>
      </c>
      <c r="AM16" s="8" t="str">
        <f>VLOOKUP($K$9,$U$3:$KT$4,108,0)</f>
        <v>Jumping Individual</v>
      </c>
      <c r="AO16" s="8" t="str">
        <f>VLOOKUP($K$9,$U$3:$KT$4,116,0)</f>
        <v>Foil Team</v>
      </c>
      <c r="AP16" s="8" t="str">
        <f>VLOOKUP($K$9,$U$3:$KT$4,128,0)</f>
        <v>Rings</v>
      </c>
      <c r="AR16" s="8" t="str">
        <f>VLOOKUP($K$9,$U$3:$KT$4,138,0)</f>
        <v>Ribbon</v>
      </c>
      <c r="AV16" s="8" t="str">
        <f>VLOOKUP($K$9,$U$3:$KT$4,150,0)</f>
        <v>M -90 Kg</v>
      </c>
      <c r="AW16" s="8" t="str">
        <f>VLOOKUP($K$9,$U$3:$KT$4,165,0)</f>
        <v>Kumite M +84 Kg</v>
      </c>
      <c r="BB16" s="8" t="str">
        <f>VLOOKUP($K$9,$U$3:$KT$4,222,0)</f>
        <v>M4-</v>
      </c>
      <c r="BC16" s="8"/>
      <c r="BE16" s="8" t="str">
        <f>VLOOKUP($K$9,$U$3:$KT$4,279,0)</f>
        <v>Skiff (49er)</v>
      </c>
      <c r="BG16" s="8" t="str">
        <f>VLOOKUP($K$9,$U$3:$KT$4,267,0)</f>
        <v>25m pistol</v>
      </c>
      <c r="BJ16" s="8"/>
      <c r="BM16" s="8" t="str">
        <f>VLOOKUP($K$9,$U$3:$KT$4,11,0)</f>
        <v>800 m freestyle</v>
      </c>
      <c r="BO16" s="8" t="str">
        <f>VLOOKUP($K$9,$U$3:$KT$4,244,0)</f>
        <v>F Kyorugi -49 Kg</v>
      </c>
      <c r="BT16" s="8" t="str">
        <f>VLOOKUP($K$9,$U$3:$KT$4,176,0)</f>
        <v>M +102 Kg</v>
      </c>
      <c r="BV16" s="8" t="str">
        <f>VLOOKUP($K$9,$U$3:$KT$4,186,0)</f>
        <v>Grecoroman 97 Kg</v>
      </c>
      <c r="BW16" s="8" t="str">
        <f>VLOOKUP($K$9,$U$3:$KT$4,122,0)</f>
        <v>Wakeboard</v>
      </c>
    </row>
    <row r="17" ht="13.5" customHeight="1">
      <c r="A17" s="8"/>
      <c r="B17" s="27">
        <v>7.0</v>
      </c>
      <c r="C17" s="34"/>
      <c r="D17" s="34"/>
      <c r="E17" s="35"/>
      <c r="F17" s="35"/>
      <c r="G17" s="35"/>
      <c r="H17" s="35"/>
      <c r="I17" s="35"/>
      <c r="J17" s="35"/>
      <c r="K17" s="35"/>
      <c r="L17" s="5"/>
      <c r="M17" s="5"/>
      <c r="N17" s="5"/>
      <c r="O17" s="5"/>
      <c r="P17" s="5"/>
      <c r="Q17" s="8"/>
      <c r="R17" s="8"/>
      <c r="S17" s="8"/>
      <c r="T17" s="8"/>
      <c r="U17" s="12"/>
      <c r="V17" s="8" t="str">
        <f>VLOOKUP($K$9,$U$3:$KT$4,262,0)</f>
        <v>Compund Mixed</v>
      </c>
      <c r="X17" s="8" t="str">
        <f>VLOOKUP($K$9,$U$3:$KT$4,3,0)</f>
        <v>3m Trampoline</v>
      </c>
      <c r="AJ17" s="8" t="str">
        <f>VLOOKUP($K$9,$U$3:$KT$4,85,0)</f>
        <v>WK1 500m</v>
      </c>
      <c r="AK17" s="8" t="str">
        <f>VLOOKUP($K$9,$U$3:$KT$4,103,0)</f>
        <v>Madison</v>
      </c>
      <c r="AM17" s="8" t="str">
        <f>VLOOKUP($K$9,$U$3:$KT$4,109,0)</f>
        <v>Jumping Team</v>
      </c>
      <c r="AO17" s="8" t="str">
        <f>VLOOKUP($K$9,$U$3:$KT$4,117,0)</f>
        <v>Sabre Team</v>
      </c>
      <c r="AP17" s="8" t="str">
        <f>VLOOKUP($K$9,$U$3:$KT$4,129,0)</f>
        <v>Vault</v>
      </c>
      <c r="AR17" s="8" t="str">
        <f>VLOOKUP($K$9,$U$3:$KT$4,139,0)</f>
        <v>Groups All Round</v>
      </c>
      <c r="AV17" s="8" t="str">
        <f>VLOOKUP($K$9,$U$3:$KT$4,151,0)</f>
        <v>M -100 Kg</v>
      </c>
      <c r="AW17" s="8" t="str">
        <f>VLOOKUP($K$9,$U$3:$KT$4,166,0)</f>
        <v>Kumite F -50 Kg</v>
      </c>
      <c r="BB17" s="8" t="str">
        <f>VLOOKUP($K$9,$U$3:$KT$4,223,0)</f>
        <v>LM2x</v>
      </c>
      <c r="BE17" s="8" t="str">
        <f>VLOOKUP($K$9,$U$3:$KT$4,280,0)</f>
        <v>Skiff (49er Fx)</v>
      </c>
      <c r="BG17" s="8" t="str">
        <f>VLOOKUP($K$9,$U$3:$KT$4,268,0)</f>
        <v>Skeet</v>
      </c>
      <c r="BM17" s="8" t="str">
        <f>VLOOKUP($K$9,$U$3:$KT$4,12,0)</f>
        <v>1,500 m freestyle</v>
      </c>
      <c r="BO17" s="8" t="str">
        <f>VLOOKUP($K$9,$U$3:$KT$4,245,0)</f>
        <v>F Kyorugi -57 Kg</v>
      </c>
      <c r="BT17" s="8" t="str">
        <f>VLOOKUP($K$9,$U$3:$KT$4,177,0)</f>
        <v>F 49 Kg</v>
      </c>
      <c r="BV17" s="8" t="str">
        <f>VLOOKUP($K$9,$U$3:$KT$4,187,0)</f>
        <v>Grecoroman 130 Kg</v>
      </c>
    </row>
    <row r="18" ht="13.5" customHeight="1">
      <c r="A18" s="8"/>
      <c r="B18" s="31">
        <v>8.0</v>
      </c>
      <c r="C18" s="32"/>
      <c r="D18" s="32"/>
      <c r="E18" s="33"/>
      <c r="F18" s="33"/>
      <c r="G18" s="33"/>
      <c r="H18" s="33"/>
      <c r="I18" s="33"/>
      <c r="J18" s="33"/>
      <c r="K18" s="33"/>
      <c r="L18" s="5"/>
      <c r="M18" s="5"/>
      <c r="N18" s="5"/>
      <c r="O18" s="5"/>
      <c r="P18" s="5"/>
      <c r="Q18" s="8"/>
      <c r="R18" s="8"/>
      <c r="S18" s="8"/>
      <c r="T18" s="8"/>
      <c r="U18" s="12"/>
      <c r="V18" s="8"/>
      <c r="X18" s="8" t="str">
        <f>VLOOKUP($K$9,$U$3:$KT$4,35,0)</f>
        <v>5000m</v>
      </c>
      <c r="AJ18" s="8" t="str">
        <f>VLOOKUP($K$9,$U$3:$KT$4,86,0)</f>
        <v>WK2 500m</v>
      </c>
      <c r="AP18" s="8" t="str">
        <f>VLOOKUP($K$9,$U$3:$KT$4,130,0)</f>
        <v>Parallel bars</v>
      </c>
      <c r="AR18" s="8" t="str">
        <f>VLOOKUP($K$9,$U$3:$KT$4,140,0)</f>
        <v>5 hoops</v>
      </c>
      <c r="AV18" s="8" t="str">
        <f>VLOOKUP($K$9,$U$3:$KT$4,152,0)</f>
        <v>M +100 Kg</v>
      </c>
      <c r="AW18" s="8" t="str">
        <f>VLOOKUP($K$9,$U$3:$KT$4,167,0)</f>
        <v>Kumite F -55 Kg</v>
      </c>
      <c r="BB18" s="8" t="str">
        <f>VLOOKUP($K$9,$U$3:$KT$4,224,0)</f>
        <v>W1x</v>
      </c>
      <c r="BE18" s="8" t="str">
        <f>VLOOKUP($K$9,$U$3:$KT$4,281,0)</f>
        <v>Kite (Fomula Kite)</v>
      </c>
      <c r="BG18" s="8" t="str">
        <f>VLOOKUP($K$9,$U$3:$KT$4,269,0)</f>
        <v>Trap</v>
      </c>
      <c r="BM18" s="8" t="str">
        <f>VLOOKUP($K$9,$U$3:$KT$4,13,0)</f>
        <v>100 m back</v>
      </c>
      <c r="BO18" s="8" t="str">
        <f>VLOOKUP($K$9,$U$3:$KT$4,246,0)</f>
        <v>F Kyorugi -67 Kg</v>
      </c>
      <c r="BT18" s="8" t="str">
        <f>VLOOKUP($K$9,$U$3:$KT$4,178,0)</f>
        <v>F 59 Kg</v>
      </c>
      <c r="BV18" s="8" t="str">
        <f>VLOOKUP($K$9,$U$3:$KT$4,188,0)</f>
        <v>Freestyle M 57 Kg</v>
      </c>
    </row>
    <row r="19" ht="13.5" customHeight="1">
      <c r="A19" s="8"/>
      <c r="B19" s="27">
        <v>9.0</v>
      </c>
      <c r="C19" s="34"/>
      <c r="D19" s="34"/>
      <c r="E19" s="35"/>
      <c r="F19" s="35"/>
      <c r="G19" s="35"/>
      <c r="H19" s="35"/>
      <c r="I19" s="35"/>
      <c r="J19" s="35"/>
      <c r="K19" s="35"/>
      <c r="L19" s="5"/>
      <c r="M19" s="5"/>
      <c r="N19" s="5"/>
      <c r="O19" s="5"/>
      <c r="P19" s="5"/>
      <c r="Q19" s="8"/>
      <c r="R19" s="8"/>
      <c r="S19" s="8"/>
      <c r="T19" s="8"/>
      <c r="U19" s="12"/>
      <c r="V19" s="8"/>
      <c r="X19" s="8" t="str">
        <f>VLOOKUP($K$9,$U$3:$KT$4,36,0)</f>
        <v>10000m</v>
      </c>
      <c r="AJ19" s="8" t="str">
        <f>VLOOKUP($K$9,$U$3:$KT$4,87,0)</f>
        <v>WK4 500M</v>
      </c>
      <c r="AP19" s="8" t="str">
        <f>VLOOKUP($K$9,$U$3:$KT$4,131,0)</f>
        <v>Horizontal Bar</v>
      </c>
      <c r="AR19" s="8" t="str">
        <f>VLOOKUP($K$9,$U$3:$KT$4,141,0)</f>
        <v>3 ribbons / 2 balls</v>
      </c>
      <c r="AV19" s="8" t="str">
        <f>VLOOKUP($K$9,$U$3:$KT$4,153,0)</f>
        <v>F -48 Kg</v>
      </c>
      <c r="AW19" s="8" t="str">
        <f>VLOOKUP($K$9,$U$3:$KT$4,168,0)</f>
        <v>Kumite F -61 Kg</v>
      </c>
      <c r="BB19" s="8" t="str">
        <f>VLOOKUP($K$9,$U$3:$KT$4,225,0)</f>
        <v>W2x</v>
      </c>
      <c r="BE19" s="8" t="str">
        <f>VLOOKUP($K$9,$U$3:$KT$4,282,0)</f>
        <v>Mixed Multihull (Nacra 17)</v>
      </c>
      <c r="BG19" s="8" t="str">
        <f>VLOOKUP($K$9,$U$3:$KT$4,270,0)</f>
        <v>Mixed 10m air rifle</v>
      </c>
      <c r="BM19" s="8" t="str">
        <f>VLOOKUP($K$9,$U$3:$KT$4,14,0)</f>
        <v>200 m back</v>
      </c>
      <c r="BO19" s="8" t="str">
        <f>VLOOKUP($K$9,$U$3:$KT$4,247,0)</f>
        <v>F Kyorugi +67 Kg</v>
      </c>
      <c r="BT19" s="8" t="str">
        <f>VLOOKUP($K$9,$U$3:$KT$4,179,0)</f>
        <v>F 71 Kg</v>
      </c>
      <c r="BV19" s="8" t="str">
        <f>VLOOKUP($K$9,$U$3:$KT$4,189,0)</f>
        <v>Freestyle M 65 Kg</v>
      </c>
    </row>
    <row r="20" ht="13.5" customHeight="1">
      <c r="A20" s="8"/>
      <c r="B20" s="31">
        <v>10.0</v>
      </c>
      <c r="C20" s="32"/>
      <c r="D20" s="32"/>
      <c r="E20" s="33"/>
      <c r="F20" s="33"/>
      <c r="G20" s="33"/>
      <c r="H20" s="33"/>
      <c r="I20" s="33"/>
      <c r="J20" s="33"/>
      <c r="K20" s="33"/>
      <c r="L20" s="5"/>
      <c r="M20" s="5"/>
      <c r="N20" s="5"/>
      <c r="O20" s="5"/>
      <c r="P20" s="5"/>
      <c r="Q20" s="8"/>
      <c r="R20" s="8"/>
      <c r="S20" s="8"/>
      <c r="T20" s="8"/>
      <c r="U20" s="12"/>
      <c r="V20" s="8"/>
      <c r="X20" s="8" t="str">
        <f>VLOOKUP($K$9,$U$3:$KT$4,37,0)</f>
        <v>110 / 100 Hurdles</v>
      </c>
      <c r="AJ20" s="8" t="str">
        <f>VLOOKUP($K$9,$U$3:$KT$4,88,0)</f>
        <v>WC1 200m</v>
      </c>
      <c r="AP20" s="8" t="str">
        <f>VLOOKUP($K$9,$U$3:$KT$4,132,0)</f>
        <v>Uneven bars</v>
      </c>
      <c r="AV20" s="8" t="str">
        <f>VLOOKUP($K$9,$U$3:$KT$4,154,0)</f>
        <v>F -52 Kg</v>
      </c>
      <c r="AW20" s="8" t="str">
        <f>VLOOKUP($K$9,$U$3:$KT$4,169,0)</f>
        <v>Kumite F -68 Kg </v>
      </c>
      <c r="BB20" s="8" t="str">
        <f>VLOOKUP($K$9,$U$3:$KT$4,226,0)</f>
        <v>W4x</v>
      </c>
      <c r="BE20" s="8" t="str">
        <f>VLOOKUP($K$9,$U$3:$KT$4,283,0)</f>
        <v>Mixed Dinghy (snipe)</v>
      </c>
      <c r="BG20" s="8" t="str">
        <f>VLOOKUP($K$9,$U$3:$KT$4,271,0)</f>
        <v>Mixed 10m air pistol</v>
      </c>
      <c r="BM20" s="8" t="str">
        <f>VLOOKUP($K$9,$U$3:$KT$4,15,0)</f>
        <v>100 m chest</v>
      </c>
      <c r="BO20" s="8" t="str">
        <f>VLOOKUP($K$9,$U$3:$KT$4,248,0)</f>
        <v>Poomsae Traditional Individual</v>
      </c>
      <c r="BT20" s="8" t="str">
        <f>VLOOKUP($K$9,$U$3:$KT$4,180,0)</f>
        <v>F 81 Kg</v>
      </c>
      <c r="BV20" s="8" t="str">
        <f>VLOOKUP($K$9,$U$3:$KT$4,190,0)</f>
        <v>Freestyle M 74 Kg</v>
      </c>
    </row>
    <row r="21" ht="13.5" customHeight="1">
      <c r="A21" s="21"/>
      <c r="B21" s="27">
        <v>11.0</v>
      </c>
      <c r="C21" s="28"/>
      <c r="D21" s="28"/>
      <c r="E21" s="30"/>
      <c r="F21" s="30"/>
      <c r="G21" s="30"/>
      <c r="H21" s="30"/>
      <c r="I21" s="30"/>
      <c r="J21" s="30"/>
      <c r="K21" s="30"/>
      <c r="L21" s="5"/>
      <c r="M21" s="5"/>
      <c r="N21" s="5"/>
      <c r="O21" s="5"/>
      <c r="P21" s="5"/>
      <c r="Q21" s="21"/>
      <c r="R21" s="21"/>
      <c r="S21" s="21"/>
      <c r="T21" s="21"/>
      <c r="U21" s="12"/>
      <c r="V21" s="8"/>
      <c r="X21" s="8" t="str">
        <f>VLOOKUP($K$9,$U$3:$KT$4,38,0)</f>
        <v>400 hurdles</v>
      </c>
      <c r="AJ21" s="8" t="str">
        <f>VLOOKUP($K$9,$U$3:$KT$4,89,0)</f>
        <v>WC2 500m</v>
      </c>
      <c r="AP21" s="8" t="str">
        <f>VLOOKUP($K$9,$U$3:$KT$4,133,0)</f>
        <v>Balance beam</v>
      </c>
      <c r="AV21" s="8" t="str">
        <f>VLOOKUP($K$9,$U$3:$KT$4,155,0)</f>
        <v>F -57 Kg</v>
      </c>
      <c r="AW21" s="8" t="str">
        <f>VLOOKUP($K$9,$U$3:$KT$4,170,0)</f>
        <v>Kumite F +68 Kg</v>
      </c>
      <c r="BB21" s="8" t="str">
        <f>VLOOKUP($K$9,$U$3:$KT$4,227,0)</f>
        <v>W2-</v>
      </c>
      <c r="BE21" s="8" t="str">
        <f>VLOOKUP($K$9,$U$3:$KT$4,284,0)</f>
        <v>Mixed Dinghy (lightning)</v>
      </c>
      <c r="BG21" s="8" t="str">
        <f>VLOOKUP($K$9,$U$3:$KT$4,272,0)</f>
        <v>Mixed Skeet</v>
      </c>
      <c r="BM21" s="8" t="str">
        <f>VLOOKUP($K$9,$U$3:$KT$4,16,0)</f>
        <v>200 m chest</v>
      </c>
      <c r="BO21" s="8" t="str">
        <f>VLOOKUP($K$9,$U$3:$KT$4,249,0)</f>
        <v>Poomsae Freestyle Pairs</v>
      </c>
      <c r="BT21" s="8" t="str">
        <f>VLOOKUP($K$9,$U$3:$KT$4,181,0)</f>
        <v>F +81 Kg</v>
      </c>
      <c r="BV21" s="8" t="str">
        <f>VLOOKUP($K$9,$U$3:$KT$4,191,0)</f>
        <v>Freestyle M 86 Kg</v>
      </c>
    </row>
    <row r="22" ht="13.5" customHeight="1">
      <c r="A22" s="21"/>
      <c r="B22" s="31">
        <v>12.0</v>
      </c>
      <c r="C22" s="32"/>
      <c r="D22" s="32"/>
      <c r="E22" s="33"/>
      <c r="F22" s="33"/>
      <c r="G22" s="33"/>
      <c r="H22" s="33"/>
      <c r="I22" s="33"/>
      <c r="J22" s="33"/>
      <c r="K22" s="33"/>
      <c r="L22" s="5"/>
      <c r="M22" s="5"/>
      <c r="N22" s="5"/>
      <c r="O22" s="5"/>
      <c r="P22" s="5"/>
      <c r="Q22" s="21"/>
      <c r="R22" s="21"/>
      <c r="S22" s="21"/>
      <c r="T22" s="21"/>
      <c r="U22" s="12"/>
      <c r="V22" s="8"/>
      <c r="X22" s="8" t="str">
        <f>VLOOKUP($K$9,$U$3:$KT$4,39,0)</f>
        <v>3000 with obstacles</v>
      </c>
      <c r="AV22" s="8" t="str">
        <f>VLOOKUP($K$9,$U$3:$KT$4,156,0)</f>
        <v>F -63 Kg</v>
      </c>
      <c r="AW22" s="8" t="str">
        <f>VLOOKUP($K$9,$U$3:$KT$4,171,0)</f>
        <v>Kata</v>
      </c>
      <c r="BB22" s="8" t="str">
        <f>VLOOKUP($K$9,$U$3:$KT$4,228,0)</f>
        <v>W4-</v>
      </c>
      <c r="BE22" s="8"/>
      <c r="BM22" s="8" t="str">
        <f>VLOOKUP($K$9,$U$3:$KT$4,17,0)</f>
        <v>100 m butterfly</v>
      </c>
      <c r="BV22" s="8" t="str">
        <f>VLOOKUP($K$9,$U$3:$KT$4,192,0)</f>
        <v>Freestyle M 97 Kg</v>
      </c>
    </row>
    <row r="23" ht="13.5" customHeight="1">
      <c r="A23" s="21"/>
      <c r="B23" s="27">
        <v>13.0</v>
      </c>
      <c r="C23" s="34"/>
      <c r="D23" s="34"/>
      <c r="E23" s="35"/>
      <c r="F23" s="35"/>
      <c r="G23" s="35"/>
      <c r="H23" s="35"/>
      <c r="I23" s="35"/>
      <c r="J23" s="35"/>
      <c r="K23" s="35"/>
      <c r="L23" s="5"/>
      <c r="M23" s="5"/>
      <c r="N23" s="5"/>
      <c r="O23" s="5"/>
      <c r="P23" s="5"/>
      <c r="Q23" s="21"/>
      <c r="R23" s="21"/>
      <c r="S23" s="21"/>
      <c r="T23" s="21"/>
      <c r="U23" s="12"/>
      <c r="V23" s="8"/>
      <c r="X23" s="8" t="str">
        <f>VLOOKUP($K$9,$U$3:$KT$4,40,0)</f>
        <v>4x100m</v>
      </c>
      <c r="AV23" s="8" t="str">
        <f>VLOOKUP($K$9,$U$3:$KT$4,157,0)</f>
        <v>F -70 Kg</v>
      </c>
      <c r="BB23" s="8" t="str">
        <f>VLOOKUP($K$9,$U$3:$KT$4,229,0)</f>
        <v>LW2x</v>
      </c>
      <c r="BE23" s="8"/>
      <c r="BM23" s="8" t="str">
        <f t="shared" ref="BM23:BM24" si="1">VLOOKUP($K$9,$U$3:$KT$4,18,0)</f>
        <v>200 m butterfly</v>
      </c>
      <c r="BV23" s="8" t="str">
        <f>VLOOKUP($K$9,$U$3:$KT$4,193,0)</f>
        <v>Freestyle M 125 Kg</v>
      </c>
    </row>
    <row r="24" ht="13.5" customHeight="1">
      <c r="A24" s="21"/>
      <c r="B24" s="31">
        <v>14.0</v>
      </c>
      <c r="C24" s="32"/>
      <c r="D24" s="32"/>
      <c r="E24" s="33"/>
      <c r="F24" s="33"/>
      <c r="G24" s="33"/>
      <c r="H24" s="33"/>
      <c r="I24" s="33"/>
      <c r="J24" s="33"/>
      <c r="K24" s="33"/>
      <c r="L24" s="5"/>
      <c r="M24" s="5"/>
      <c r="N24" s="5"/>
      <c r="O24" s="5"/>
      <c r="P24" s="5"/>
      <c r="Q24" s="21"/>
      <c r="R24" s="21"/>
      <c r="S24" s="21"/>
      <c r="T24" s="21"/>
      <c r="U24" s="12"/>
      <c r="V24" s="21"/>
      <c r="X24" s="8" t="str">
        <f>VLOOKUP($K$9,$U$3:$KT$4,41,0)</f>
        <v>4x400m</v>
      </c>
      <c r="AV24" s="8" t="str">
        <f>VLOOKUP($K$9,$U$3:$KT$4,158,0)</f>
        <v>F -78 Kg</v>
      </c>
      <c r="BB24" s="8" t="str">
        <f>VLOOKUP($K$9,$U$3:$KT$4,230,0)</f>
        <v>Mixed 8+</v>
      </c>
      <c r="BM24" s="8" t="str">
        <f t="shared" si="1"/>
        <v>200 m butterfly</v>
      </c>
      <c r="BV24" s="8" t="str">
        <f>VLOOKUP($K$9,$U$3:$KT$4,194,0)</f>
        <v>Freestyle F 50 Kg</v>
      </c>
    </row>
    <row r="25" ht="13.5" customHeight="1">
      <c r="A25" s="1"/>
      <c r="B25" s="27">
        <v>15.0</v>
      </c>
      <c r="C25" s="34"/>
      <c r="D25" s="34"/>
      <c r="E25" s="35"/>
      <c r="F25" s="35"/>
      <c r="G25" s="35"/>
      <c r="H25" s="35"/>
      <c r="I25" s="35"/>
      <c r="J25" s="35"/>
      <c r="K25" s="35"/>
      <c r="L25" s="5"/>
      <c r="M25" s="5"/>
      <c r="N25" s="5"/>
      <c r="O25" s="5"/>
      <c r="P25" s="5"/>
      <c r="Q25" s="1"/>
      <c r="R25" s="1"/>
      <c r="S25" s="1"/>
      <c r="T25" s="1"/>
      <c r="U25" s="12"/>
      <c r="V25" s="21"/>
      <c r="X25" s="8" t="str">
        <f>VLOOKUP($K$9,$U$3:$KT$4,42,0)</f>
        <v>High jump</v>
      </c>
      <c r="AV25" s="8" t="str">
        <f>VLOOKUP($K$9,$U$3:$KT$4,159,0)</f>
        <v>F +78 Kg</v>
      </c>
      <c r="BM25" s="8" t="str">
        <f>VLOOKUP($K$9,$U$3:$KT$4,19,0)</f>
        <v>200 m Combined individual</v>
      </c>
      <c r="BV25" s="8" t="str">
        <f>VLOOKUP($K$9,$U$3:$KT$4,195,0)</f>
        <v>Freestyle F 53 Kg</v>
      </c>
    </row>
    <row r="26" ht="13.5" customHeight="1">
      <c r="A26" s="1"/>
      <c r="B26" s="31">
        <v>16.0</v>
      </c>
      <c r="C26" s="32"/>
      <c r="D26" s="32"/>
      <c r="E26" s="33"/>
      <c r="F26" s="33"/>
      <c r="G26" s="33"/>
      <c r="H26" s="33"/>
      <c r="I26" s="33"/>
      <c r="J26" s="33"/>
      <c r="K26" s="33"/>
      <c r="L26" s="5"/>
      <c r="M26" s="5"/>
      <c r="N26" s="5"/>
      <c r="O26" s="5"/>
      <c r="P26" s="5"/>
      <c r="Q26" s="1"/>
      <c r="R26" s="1"/>
      <c r="S26" s="1"/>
      <c r="T26" s="1"/>
      <c r="U26" s="12"/>
      <c r="V26" s="21"/>
      <c r="X26" s="8" t="str">
        <f>VLOOKUP($K$9,$U$3:$KT$4,43,0)</f>
        <v>Long jump</v>
      </c>
      <c r="AV26" s="8" t="str">
        <f>VLOOKUP($K$9,$U$3:$KT$4,160,0)</f>
        <v>Mixed Team</v>
      </c>
      <c r="BM26" s="8" t="str">
        <f>VLOOKUP($K$9,$U$3:$KT$4,20,0)</f>
        <v>400 m Combined individual</v>
      </c>
      <c r="BV26" s="8" t="str">
        <f>VLOOKUP($K$9,$U$3:$KT$4,196,0)</f>
        <v>Freestyle F 57 Kg</v>
      </c>
    </row>
    <row r="27" ht="13.5" customHeight="1">
      <c r="A27" s="1"/>
      <c r="B27" s="27">
        <v>17.0</v>
      </c>
      <c r="C27" s="28"/>
      <c r="D27" s="28"/>
      <c r="E27" s="30"/>
      <c r="F27" s="30"/>
      <c r="G27" s="30"/>
      <c r="H27" s="30"/>
      <c r="I27" s="30"/>
      <c r="J27" s="30"/>
      <c r="K27" s="30"/>
      <c r="L27" s="5"/>
      <c r="M27" s="5"/>
      <c r="N27" s="5"/>
      <c r="O27" s="5"/>
      <c r="P27" s="5"/>
      <c r="Q27" s="1"/>
      <c r="R27" s="1"/>
      <c r="S27" s="1"/>
      <c r="T27" s="1"/>
      <c r="U27" s="12"/>
      <c r="V27" s="21"/>
      <c r="X27" s="8" t="str">
        <f>VLOOKUP($K$9,$U$3:$KT$4,44,0)</f>
        <v>Triple jump</v>
      </c>
      <c r="BM27" s="8" t="str">
        <f>VLOOKUP($K$9,$U$3:$KT$4,21,0)</f>
        <v>4 x 100 m freestyle relay</v>
      </c>
      <c r="BV27" s="8" t="str">
        <f>VLOOKUP($K$9,$U$3:$KT$4,197,0)</f>
        <v>Freestyle F 62 Kg</v>
      </c>
    </row>
    <row r="28" ht="13.5" customHeight="1">
      <c r="A28" s="1"/>
      <c r="B28" s="31">
        <v>18.0</v>
      </c>
      <c r="C28" s="32"/>
      <c r="D28" s="32"/>
      <c r="E28" s="33"/>
      <c r="F28" s="33"/>
      <c r="G28" s="33"/>
      <c r="H28" s="33"/>
      <c r="I28" s="33"/>
      <c r="J28" s="33"/>
      <c r="K28" s="33"/>
      <c r="L28" s="5"/>
      <c r="M28" s="5"/>
      <c r="N28" s="5"/>
      <c r="O28" s="5"/>
      <c r="P28" s="5"/>
      <c r="Q28" s="1"/>
      <c r="R28" s="1"/>
      <c r="S28" s="1"/>
      <c r="T28" s="1"/>
      <c r="U28" s="12"/>
      <c r="V28" s="21"/>
      <c r="X28" s="8" t="str">
        <f>VLOOKUP($K$9,$U$3:$KT$4,45,0)</f>
        <v>Pole Vault</v>
      </c>
      <c r="BM28" s="8" t="str">
        <f>VLOOKUP($K$9,$U$3:$KT$4,22,0)</f>
        <v>4 x 200 m freestyle relay</v>
      </c>
      <c r="BV28" s="8" t="str">
        <f>VLOOKUP($K$9,$U$3:$KT$4,198,0)</f>
        <v>Freestyle F 68 Kg</v>
      </c>
    </row>
    <row r="29" ht="13.5" customHeight="1">
      <c r="A29" s="1"/>
      <c r="B29" s="27">
        <v>19.0</v>
      </c>
      <c r="C29" s="34"/>
      <c r="D29" s="34"/>
      <c r="E29" s="35"/>
      <c r="F29" s="35"/>
      <c r="G29" s="35"/>
      <c r="H29" s="35"/>
      <c r="I29" s="35"/>
      <c r="J29" s="35"/>
      <c r="K29" s="35"/>
      <c r="L29" s="5"/>
      <c r="M29" s="5"/>
      <c r="N29" s="5"/>
      <c r="O29" s="5"/>
      <c r="P29" s="5"/>
      <c r="Q29" s="1"/>
      <c r="R29" s="1"/>
      <c r="S29" s="1"/>
      <c r="T29" s="1"/>
      <c r="U29" s="12"/>
      <c r="V29" s="21"/>
      <c r="X29" s="8" t="str">
        <f>VLOOKUP($K$9,$U$3:$KT$4,46,0)</f>
        <v>Put Shot</v>
      </c>
      <c r="BM29" s="8" t="str">
        <f>VLOOKUP($K$9,$U$3:$KT$4,23,0)</f>
        <v>4 x 100 m combined relay</v>
      </c>
      <c r="BV29" s="8" t="str">
        <f>VLOOKUP($K$9,$U$3:$KT$4,199,0)</f>
        <v>Freestyle F 76 Kg</v>
      </c>
    </row>
    <row r="30" ht="13.5" customHeight="1">
      <c r="A30" s="1"/>
      <c r="B30" s="31">
        <v>20.0</v>
      </c>
      <c r="C30" s="32"/>
      <c r="D30" s="32"/>
      <c r="E30" s="33"/>
      <c r="F30" s="33"/>
      <c r="G30" s="33"/>
      <c r="H30" s="33"/>
      <c r="I30" s="33"/>
      <c r="J30" s="33"/>
      <c r="K30" s="33"/>
      <c r="L30" s="5"/>
      <c r="M30" s="5"/>
      <c r="N30" s="5"/>
      <c r="O30" s="5"/>
      <c r="P30" s="5"/>
      <c r="Q30" s="1"/>
      <c r="R30" s="1"/>
      <c r="S30" s="1"/>
      <c r="T30" s="1"/>
      <c r="U30" s="12"/>
      <c r="V30" s="21"/>
      <c r="X30" s="8" t="str">
        <f>VLOOKUP($K$9,$U$3:$KT$4,47,0)</f>
        <v>Discus throw</v>
      </c>
      <c r="BM30" s="8" t="str">
        <f>VLOOKUP($K$9,$U$3:$KT$4,24,0)</f>
        <v>Mixed 4 x 100 m freestyle relay</v>
      </c>
    </row>
    <row r="31" ht="13.5" customHeight="1">
      <c r="A31" s="1"/>
      <c r="B31" s="27">
        <v>21.0</v>
      </c>
      <c r="C31" s="34"/>
      <c r="D31" s="34"/>
      <c r="E31" s="35"/>
      <c r="F31" s="35"/>
      <c r="G31" s="35"/>
      <c r="H31" s="35"/>
      <c r="I31" s="35"/>
      <c r="J31" s="35"/>
      <c r="K31" s="35"/>
      <c r="L31" s="5"/>
      <c r="M31" s="5"/>
      <c r="N31" s="5"/>
      <c r="O31" s="5"/>
      <c r="P31" s="5"/>
      <c r="Q31" s="1"/>
      <c r="R31" s="1"/>
      <c r="S31" s="1"/>
      <c r="T31" s="1"/>
      <c r="U31" s="12"/>
      <c r="V31" s="21"/>
      <c r="X31" s="8" t="str">
        <f>VLOOKUP($K$9,$U$3:$KT$4,48,0)</f>
        <v>Javelin throw</v>
      </c>
      <c r="BM31" s="8" t="str">
        <f>VLOOKUP($K$9,$U$3:$KT$4,25,0)</f>
        <v>Mixed 4 x 100 m combined relay</v>
      </c>
    </row>
    <row r="32" ht="13.5" customHeight="1">
      <c r="A32" s="1"/>
      <c r="B32" s="31">
        <v>22.0</v>
      </c>
      <c r="C32" s="32"/>
      <c r="D32" s="32"/>
      <c r="E32" s="33"/>
      <c r="F32" s="33"/>
      <c r="G32" s="33"/>
      <c r="H32" s="33"/>
      <c r="I32" s="33"/>
      <c r="J32" s="33"/>
      <c r="K32" s="33"/>
      <c r="L32" s="5"/>
      <c r="M32" s="5"/>
      <c r="N32" s="5"/>
      <c r="O32" s="5"/>
      <c r="P32" s="5"/>
      <c r="Q32" s="1"/>
      <c r="R32" s="1"/>
      <c r="S32" s="1"/>
      <c r="T32" s="1"/>
      <c r="U32" s="12"/>
      <c r="V32" s="21"/>
      <c r="X32" s="8" t="str">
        <f>VLOOKUP($K$9,$U$3:$KT$4,49,0)</f>
        <v>Hammer throw</v>
      </c>
    </row>
    <row r="33" ht="13.5" customHeight="1">
      <c r="A33" s="1"/>
      <c r="B33" s="27">
        <v>23.0</v>
      </c>
      <c r="C33" s="28"/>
      <c r="D33" s="28"/>
      <c r="E33" s="30"/>
      <c r="F33" s="30"/>
      <c r="G33" s="30"/>
      <c r="H33" s="30"/>
      <c r="I33" s="30"/>
      <c r="J33" s="30"/>
      <c r="K33" s="30"/>
      <c r="L33" s="5"/>
      <c r="M33" s="5"/>
      <c r="N33" s="5"/>
      <c r="O33" s="5"/>
      <c r="P33" s="5"/>
      <c r="Q33" s="1"/>
      <c r="R33" s="1"/>
      <c r="S33" s="1"/>
      <c r="T33" s="1"/>
      <c r="U33" s="12"/>
      <c r="V33" s="21"/>
      <c r="X33" s="8" t="str">
        <f>VLOOKUP($K$9,$U$3:$KT$4,50,0)</f>
        <v>20 km march</v>
      </c>
    </row>
    <row r="34" ht="13.5" customHeight="1">
      <c r="A34" s="1"/>
      <c r="B34" s="31">
        <v>24.0</v>
      </c>
      <c r="C34" s="32"/>
      <c r="D34" s="32"/>
      <c r="E34" s="33"/>
      <c r="F34" s="33"/>
      <c r="G34" s="33"/>
      <c r="H34" s="33"/>
      <c r="I34" s="33"/>
      <c r="J34" s="33"/>
      <c r="K34" s="33"/>
      <c r="L34" s="5"/>
      <c r="M34" s="5"/>
      <c r="N34" s="5"/>
      <c r="O34" s="5"/>
      <c r="P34" s="5"/>
      <c r="Q34" s="1"/>
      <c r="R34" s="1"/>
      <c r="S34" s="1"/>
      <c r="T34" s="1"/>
      <c r="U34" s="12"/>
      <c r="V34" s="21"/>
      <c r="X34" s="8" t="str">
        <f>VLOOKUP($K$9,$U$3:$KT$4,51,0)</f>
        <v>Marathon</v>
      </c>
    </row>
    <row r="35" ht="13.5" customHeight="1">
      <c r="A35" s="1"/>
      <c r="B35" s="1"/>
      <c r="C35" s="1"/>
      <c r="D35" s="1"/>
      <c r="E35" s="3"/>
      <c r="F35" s="3"/>
      <c r="G35" s="3"/>
      <c r="H35" s="3"/>
      <c r="I35" s="4"/>
      <c r="J35" s="5"/>
      <c r="K35" s="5"/>
      <c r="L35" s="5"/>
      <c r="M35" s="5"/>
      <c r="N35" s="5"/>
      <c r="O35" s="5"/>
      <c r="P35" s="5"/>
      <c r="Q35" s="1"/>
      <c r="R35" s="1"/>
      <c r="S35" s="1"/>
      <c r="T35" s="1"/>
      <c r="U35" s="12"/>
      <c r="V35" s="21"/>
      <c r="X35" s="8" t="str">
        <f>VLOOKUP($K$9,$U$3:$KT$4,52,0)</f>
        <v>Decathlon</v>
      </c>
    </row>
    <row r="36" ht="13.5" customHeight="1">
      <c r="A36" s="1"/>
      <c r="B36" s="1"/>
      <c r="C36" s="1"/>
      <c r="D36" s="1"/>
      <c r="E36" s="3"/>
      <c r="F36" s="3"/>
      <c r="G36" s="3"/>
      <c r="H36" s="3"/>
      <c r="I36" s="4"/>
      <c r="J36" s="5"/>
      <c r="K36" s="5"/>
      <c r="L36" s="5"/>
      <c r="M36" s="5"/>
      <c r="N36" s="5"/>
      <c r="O36" s="5"/>
      <c r="P36" s="5"/>
      <c r="Q36" s="1"/>
      <c r="R36" s="1"/>
      <c r="S36" s="1"/>
      <c r="T36" s="1"/>
      <c r="U36" s="12"/>
      <c r="V36" s="21"/>
      <c r="X36" s="8" t="str">
        <f>VLOOKUP($K$9,$U$3:$KT$4,53,0)</f>
        <v>Heptathlon</v>
      </c>
    </row>
    <row r="37" ht="13.5" customHeight="1">
      <c r="A37" s="1"/>
      <c r="B37" s="1"/>
      <c r="C37" s="1"/>
      <c r="D37" s="1"/>
      <c r="E37" s="3"/>
      <c r="F37" s="3"/>
      <c r="G37" s="3"/>
      <c r="H37" s="3"/>
      <c r="I37" s="4"/>
      <c r="J37" s="5"/>
      <c r="K37" s="5"/>
      <c r="L37" s="5"/>
      <c r="M37" s="5"/>
      <c r="N37" s="5"/>
      <c r="O37" s="5"/>
      <c r="P37" s="5"/>
      <c r="Q37" s="1"/>
      <c r="R37" s="1"/>
      <c r="S37" s="1"/>
      <c r="T37" s="1"/>
      <c r="U37" s="12"/>
      <c r="V37" s="21"/>
      <c r="X37" s="8" t="str">
        <f>VLOOKUP($K$9,$U$3:$KT$4,54,0)</f>
        <v>Mixed 35 km march</v>
      </c>
    </row>
    <row r="38" ht="13.5" customHeight="1">
      <c r="A38" s="1"/>
      <c r="B38" s="1"/>
      <c r="C38" s="1"/>
      <c r="D38" s="1"/>
      <c r="E38" s="3"/>
      <c r="F38" s="3"/>
      <c r="G38" s="3"/>
      <c r="H38" s="3"/>
      <c r="I38" s="4"/>
      <c r="J38" s="5"/>
      <c r="K38" s="5"/>
      <c r="L38" s="5"/>
      <c r="M38" s="5"/>
      <c r="N38" s="5"/>
      <c r="O38" s="5"/>
      <c r="P38" s="5"/>
      <c r="Q38" s="1"/>
      <c r="R38" s="1"/>
      <c r="S38" s="1"/>
      <c r="T38" s="1"/>
      <c r="U38" s="12"/>
      <c r="V38" s="21"/>
      <c r="X38" s="8" t="str">
        <f>VLOOKUP($K$9,$U$3:$KT$4,55,0)</f>
        <v>Mixed 4x400m</v>
      </c>
    </row>
    <row r="39" ht="13.5" customHeight="1">
      <c r="A39" s="1"/>
      <c r="B39" s="1"/>
      <c r="C39" s="1"/>
      <c r="D39" s="1"/>
      <c r="E39" s="3"/>
      <c r="F39" s="3"/>
      <c r="G39" s="3"/>
      <c r="H39" s="3"/>
      <c r="I39" s="4"/>
      <c r="J39" s="5"/>
      <c r="K39" s="5"/>
      <c r="L39" s="5"/>
      <c r="M39" s="5"/>
      <c r="N39" s="5"/>
      <c r="O39" s="5"/>
      <c r="P39" s="5"/>
      <c r="Q39" s="1"/>
      <c r="R39" s="1"/>
      <c r="S39" s="1"/>
      <c r="T39" s="1"/>
      <c r="U39" s="12"/>
      <c r="V39" s="1"/>
    </row>
    <row r="40" ht="13.5" customHeight="1">
      <c r="A40" s="1"/>
      <c r="B40" s="1"/>
      <c r="C40" s="1"/>
      <c r="D40" s="1"/>
      <c r="E40" s="3"/>
      <c r="F40" s="3"/>
      <c r="G40" s="3"/>
      <c r="H40" s="3"/>
      <c r="I40" s="4"/>
      <c r="J40" s="5"/>
      <c r="K40" s="5"/>
      <c r="L40" s="5"/>
      <c r="M40" s="5"/>
      <c r="N40" s="5"/>
      <c r="O40" s="5"/>
      <c r="P40" s="5"/>
      <c r="Q40" s="1"/>
      <c r="R40" s="1"/>
      <c r="S40" s="1"/>
      <c r="T40" s="1"/>
      <c r="U40" s="12"/>
      <c r="V40" s="1"/>
    </row>
    <row r="41" ht="13.5" customHeight="1">
      <c r="A41" s="1"/>
      <c r="B41" s="1"/>
      <c r="C41" s="1"/>
      <c r="D41" s="1"/>
      <c r="E41" s="3"/>
      <c r="F41" s="3"/>
      <c r="G41" s="3"/>
      <c r="H41" s="3"/>
      <c r="I41" s="4"/>
      <c r="J41" s="5"/>
      <c r="K41" s="5"/>
      <c r="L41" s="5"/>
      <c r="M41" s="5"/>
      <c r="N41" s="5"/>
      <c r="O41" s="5"/>
      <c r="P41" s="5"/>
      <c r="Q41" s="1"/>
      <c r="R41" s="1"/>
      <c r="S41" s="1"/>
      <c r="T41" s="1"/>
      <c r="U41" s="12"/>
      <c r="V41" s="1"/>
    </row>
    <row r="42" ht="13.5" customHeight="1">
      <c r="A42" s="1"/>
      <c r="B42" s="1"/>
      <c r="C42" s="1"/>
      <c r="D42" s="1"/>
      <c r="E42" s="3"/>
      <c r="F42" s="3"/>
      <c r="G42" s="3"/>
      <c r="H42" s="3"/>
      <c r="I42" s="4"/>
      <c r="J42" s="5"/>
      <c r="K42" s="5"/>
      <c r="L42" s="5"/>
      <c r="M42" s="5"/>
      <c r="N42" s="5"/>
      <c r="O42" s="5"/>
      <c r="P42" s="5"/>
      <c r="Q42" s="1"/>
      <c r="R42" s="1"/>
      <c r="S42" s="1"/>
      <c r="T42" s="1"/>
      <c r="U42" s="12"/>
      <c r="V42" s="1"/>
    </row>
    <row r="43" ht="13.5" customHeight="1">
      <c r="A43" s="1"/>
      <c r="B43" s="1"/>
      <c r="C43" s="1"/>
      <c r="D43" s="1"/>
      <c r="E43" s="3"/>
      <c r="F43" s="3"/>
      <c r="G43" s="3"/>
      <c r="H43" s="3"/>
      <c r="I43" s="4"/>
      <c r="J43" s="5"/>
      <c r="K43" s="5"/>
      <c r="L43" s="5"/>
      <c r="M43" s="5"/>
      <c r="N43" s="5"/>
      <c r="O43" s="5"/>
      <c r="P43" s="5"/>
      <c r="Q43" s="1"/>
      <c r="R43" s="1"/>
      <c r="S43" s="1"/>
      <c r="T43" s="1"/>
      <c r="U43" s="12"/>
      <c r="V43" s="1"/>
    </row>
    <row r="44" ht="13.5" customHeight="1">
      <c r="A44" s="1"/>
      <c r="B44" s="1"/>
      <c r="C44" s="1"/>
      <c r="D44" s="1"/>
      <c r="E44" s="3"/>
      <c r="F44" s="3"/>
      <c r="G44" s="3"/>
      <c r="H44" s="3"/>
      <c r="I44" s="4"/>
      <c r="J44" s="5"/>
      <c r="K44" s="5"/>
      <c r="L44" s="5"/>
      <c r="M44" s="5"/>
      <c r="N44" s="5"/>
      <c r="O44" s="5"/>
      <c r="P44" s="5"/>
      <c r="Q44" s="1"/>
      <c r="R44" s="1"/>
      <c r="S44" s="1"/>
      <c r="T44" s="1"/>
      <c r="U44" s="12"/>
      <c r="V44" s="1"/>
    </row>
    <row r="45" ht="13.5" customHeight="1">
      <c r="A45" s="1"/>
      <c r="B45" s="1"/>
      <c r="C45" s="1"/>
      <c r="D45" s="1"/>
      <c r="E45" s="3"/>
      <c r="F45" s="3"/>
      <c r="G45" s="3"/>
      <c r="H45" s="3"/>
      <c r="I45" s="4"/>
      <c r="J45" s="5"/>
      <c r="K45" s="5"/>
      <c r="L45" s="5"/>
      <c r="M45" s="5"/>
      <c r="N45" s="5"/>
      <c r="O45" s="5"/>
      <c r="P45" s="5"/>
      <c r="Q45" s="1"/>
      <c r="R45" s="1"/>
      <c r="S45" s="1"/>
      <c r="T45" s="1"/>
      <c r="U45" s="12"/>
      <c r="V45" s="1"/>
    </row>
    <row r="46" ht="13.5" customHeight="1">
      <c r="A46" s="1"/>
      <c r="B46" s="1"/>
      <c r="C46" s="1"/>
      <c r="D46" s="1"/>
      <c r="E46" s="3"/>
      <c r="F46" s="3"/>
      <c r="G46" s="3"/>
      <c r="H46" s="3"/>
      <c r="I46" s="4"/>
      <c r="J46" s="5"/>
      <c r="K46" s="5"/>
      <c r="L46" s="5"/>
      <c r="M46" s="5"/>
      <c r="N46" s="5"/>
      <c r="O46" s="5"/>
      <c r="P46" s="5"/>
      <c r="Q46" s="1"/>
      <c r="R46" s="1"/>
      <c r="S46" s="1"/>
      <c r="T46" s="1"/>
      <c r="U46" s="12"/>
      <c r="V46" s="1"/>
    </row>
    <row r="47" ht="13.5" customHeight="1">
      <c r="A47" s="1"/>
      <c r="B47" s="1"/>
      <c r="C47" s="1"/>
      <c r="D47" s="1"/>
      <c r="E47" s="3"/>
      <c r="F47" s="3"/>
      <c r="G47" s="3"/>
      <c r="H47" s="3"/>
      <c r="I47" s="4"/>
      <c r="J47" s="5"/>
      <c r="K47" s="5"/>
      <c r="L47" s="5"/>
      <c r="M47" s="5"/>
      <c r="N47" s="5"/>
      <c r="O47" s="5"/>
      <c r="P47" s="5"/>
      <c r="Q47" s="1"/>
      <c r="R47" s="1"/>
      <c r="S47" s="1"/>
      <c r="T47" s="1"/>
      <c r="U47" s="12"/>
      <c r="V47" s="1"/>
    </row>
    <row r="48" ht="13.5" customHeight="1">
      <c r="A48" s="1"/>
      <c r="B48" s="1"/>
      <c r="C48" s="1"/>
      <c r="D48" s="1"/>
      <c r="E48" s="3"/>
      <c r="F48" s="3"/>
      <c r="G48" s="3"/>
      <c r="H48" s="3"/>
      <c r="I48" s="4"/>
      <c r="J48" s="5"/>
      <c r="K48" s="5"/>
      <c r="L48" s="5"/>
      <c r="M48" s="5"/>
      <c r="N48" s="5"/>
      <c r="O48" s="5"/>
      <c r="P48" s="5"/>
      <c r="Q48" s="1"/>
      <c r="R48" s="1"/>
      <c r="S48" s="1"/>
      <c r="T48" s="1"/>
      <c r="U48" s="12"/>
      <c r="V48" s="1"/>
    </row>
    <row r="49" ht="13.5" customHeight="1">
      <c r="A49" s="1"/>
      <c r="B49" s="1"/>
      <c r="C49" s="1"/>
      <c r="D49" s="1"/>
      <c r="E49" s="3"/>
      <c r="F49" s="3"/>
      <c r="G49" s="3"/>
      <c r="H49" s="3"/>
      <c r="I49" s="4"/>
      <c r="J49" s="5"/>
      <c r="K49" s="5"/>
      <c r="L49" s="5"/>
      <c r="M49" s="5"/>
      <c r="N49" s="5"/>
      <c r="O49" s="5"/>
      <c r="P49" s="5"/>
      <c r="Q49" s="1"/>
      <c r="R49" s="1"/>
      <c r="S49" s="1"/>
      <c r="T49" s="1"/>
      <c r="U49" s="12"/>
      <c r="V49" s="1"/>
    </row>
    <row r="50" ht="13.5" customHeight="1">
      <c r="A50" s="1"/>
      <c r="B50" s="1"/>
      <c r="C50" s="1"/>
      <c r="D50" s="1"/>
      <c r="E50" s="3"/>
      <c r="F50" s="3"/>
      <c r="G50" s="3"/>
      <c r="H50" s="3"/>
      <c r="I50" s="4"/>
      <c r="J50" s="5"/>
      <c r="K50" s="5"/>
      <c r="L50" s="5"/>
      <c r="M50" s="5"/>
      <c r="N50" s="5"/>
      <c r="O50" s="5"/>
      <c r="P50" s="5"/>
      <c r="Q50" s="1"/>
      <c r="R50" s="1"/>
      <c r="S50" s="1"/>
      <c r="T50" s="1"/>
      <c r="U50" s="12"/>
      <c r="V50" s="1"/>
    </row>
    <row r="51" ht="13.5" customHeight="1">
      <c r="A51" s="1"/>
      <c r="B51" s="1"/>
      <c r="C51" s="1"/>
      <c r="D51" s="1"/>
      <c r="E51" s="3"/>
      <c r="F51" s="3"/>
      <c r="G51" s="3"/>
      <c r="H51" s="3"/>
      <c r="I51" s="4"/>
      <c r="J51" s="5"/>
      <c r="K51" s="5"/>
      <c r="L51" s="5"/>
      <c r="M51" s="5"/>
      <c r="N51" s="5"/>
      <c r="O51" s="5"/>
      <c r="P51" s="5"/>
      <c r="Q51" s="1"/>
      <c r="R51" s="1"/>
      <c r="S51" s="1"/>
      <c r="T51" s="1"/>
      <c r="U51" s="12"/>
      <c r="V51" s="1"/>
    </row>
    <row r="52" ht="13.5" customHeight="1">
      <c r="A52" s="1"/>
      <c r="B52" s="1"/>
      <c r="C52" s="1"/>
      <c r="D52" s="1"/>
      <c r="E52" s="3"/>
      <c r="F52" s="3"/>
      <c r="G52" s="3"/>
      <c r="H52" s="3"/>
      <c r="I52" s="4"/>
      <c r="J52" s="5"/>
      <c r="K52" s="5"/>
      <c r="L52" s="5"/>
      <c r="M52" s="5"/>
      <c r="N52" s="5"/>
      <c r="O52" s="5"/>
      <c r="P52" s="5"/>
      <c r="Q52" s="1"/>
      <c r="R52" s="1"/>
      <c r="S52" s="1"/>
      <c r="T52" s="1"/>
      <c r="U52" s="12"/>
      <c r="V52" s="1"/>
    </row>
    <row r="53" ht="13.5" customHeight="1">
      <c r="A53" s="1"/>
      <c r="B53" s="1"/>
      <c r="C53" s="1"/>
      <c r="D53" s="1"/>
      <c r="E53" s="3"/>
      <c r="F53" s="3"/>
      <c r="G53" s="3"/>
      <c r="H53" s="3"/>
      <c r="I53" s="4"/>
      <c r="J53" s="5"/>
      <c r="K53" s="5"/>
      <c r="L53" s="5"/>
      <c r="M53" s="5"/>
      <c r="N53" s="5"/>
      <c r="O53" s="5"/>
      <c r="P53" s="5"/>
      <c r="Q53" s="1"/>
      <c r="R53" s="1"/>
      <c r="S53" s="1"/>
      <c r="T53" s="1"/>
      <c r="U53" s="12"/>
      <c r="V53" s="1"/>
    </row>
    <row r="54" ht="13.5" customHeight="1">
      <c r="A54" s="1"/>
      <c r="B54" s="1"/>
      <c r="C54" s="1"/>
      <c r="D54" s="1"/>
      <c r="E54" s="3"/>
      <c r="F54" s="3"/>
      <c r="G54" s="3"/>
      <c r="H54" s="3"/>
      <c r="I54" s="4"/>
      <c r="J54" s="5"/>
      <c r="K54" s="5"/>
      <c r="L54" s="5"/>
      <c r="M54" s="5"/>
      <c r="N54" s="5"/>
      <c r="O54" s="5"/>
      <c r="P54" s="5"/>
      <c r="Q54" s="1"/>
      <c r="R54" s="1"/>
      <c r="S54" s="1"/>
      <c r="T54" s="1"/>
      <c r="U54" s="12"/>
      <c r="V54" s="1"/>
    </row>
    <row r="55" ht="13.5" customHeight="1">
      <c r="A55" s="1"/>
      <c r="B55" s="1"/>
      <c r="C55" s="1"/>
      <c r="D55" s="1"/>
      <c r="E55" s="3"/>
      <c r="F55" s="3"/>
      <c r="G55" s="3"/>
      <c r="H55" s="3"/>
      <c r="I55" s="4"/>
      <c r="J55" s="5"/>
      <c r="K55" s="5"/>
      <c r="L55" s="5"/>
      <c r="M55" s="5"/>
      <c r="N55" s="5"/>
      <c r="O55" s="5"/>
      <c r="P55" s="5"/>
      <c r="Q55" s="1"/>
      <c r="R55" s="1"/>
      <c r="S55" s="1"/>
      <c r="T55" s="1"/>
      <c r="U55" s="12"/>
      <c r="V55" s="1"/>
    </row>
    <row r="56" ht="13.5" customHeight="1">
      <c r="A56" s="1"/>
      <c r="B56" s="1"/>
      <c r="C56" s="1"/>
      <c r="D56" s="1"/>
      <c r="E56" s="3"/>
      <c r="F56" s="3"/>
      <c r="G56" s="3"/>
      <c r="H56" s="3"/>
      <c r="I56" s="4"/>
      <c r="J56" s="5"/>
      <c r="K56" s="5"/>
      <c r="L56" s="5"/>
      <c r="M56" s="5"/>
      <c r="N56" s="5"/>
      <c r="O56" s="5"/>
      <c r="P56" s="5"/>
      <c r="Q56" s="1"/>
      <c r="R56" s="1"/>
      <c r="S56" s="1"/>
      <c r="T56" s="1"/>
      <c r="U56" s="12"/>
      <c r="V56" s="1"/>
    </row>
    <row r="57" ht="13.5" customHeight="1">
      <c r="A57" s="1"/>
      <c r="B57" s="1"/>
      <c r="C57" s="1"/>
      <c r="D57" s="1"/>
      <c r="E57" s="3"/>
      <c r="F57" s="3"/>
      <c r="G57" s="3"/>
      <c r="H57" s="3"/>
      <c r="I57" s="4"/>
      <c r="J57" s="5"/>
      <c r="K57" s="5"/>
      <c r="L57" s="5"/>
      <c r="M57" s="5"/>
      <c r="N57" s="5"/>
      <c r="O57" s="5"/>
      <c r="P57" s="5"/>
      <c r="Q57" s="1"/>
      <c r="R57" s="1"/>
      <c r="S57" s="1"/>
      <c r="T57" s="1"/>
      <c r="U57" s="12"/>
      <c r="V57" s="1"/>
    </row>
    <row r="58" ht="13.5" customHeight="1">
      <c r="A58" s="1"/>
      <c r="B58" s="1"/>
      <c r="C58" s="1"/>
      <c r="D58" s="1"/>
      <c r="E58" s="3"/>
      <c r="F58" s="3"/>
      <c r="G58" s="3"/>
      <c r="H58" s="3"/>
      <c r="I58" s="4"/>
      <c r="J58" s="5"/>
      <c r="K58" s="5"/>
      <c r="L58" s="5"/>
      <c r="M58" s="5"/>
      <c r="N58" s="5"/>
      <c r="O58" s="5"/>
      <c r="P58" s="5"/>
      <c r="Q58" s="1"/>
      <c r="R58" s="1"/>
      <c r="S58" s="1"/>
      <c r="T58" s="1"/>
      <c r="U58" s="12"/>
      <c r="V58" s="1"/>
    </row>
    <row r="59" ht="13.5" customHeight="1">
      <c r="A59" s="1"/>
      <c r="B59" s="1"/>
      <c r="C59" s="1"/>
      <c r="D59" s="1"/>
      <c r="E59" s="3"/>
      <c r="F59" s="3"/>
      <c r="G59" s="3"/>
      <c r="H59" s="3"/>
      <c r="I59" s="4"/>
      <c r="J59" s="5"/>
      <c r="K59" s="5"/>
      <c r="L59" s="5"/>
      <c r="M59" s="5"/>
      <c r="N59" s="5"/>
      <c r="O59" s="5"/>
      <c r="P59" s="5"/>
      <c r="Q59" s="1"/>
      <c r="R59" s="1"/>
      <c r="S59" s="1"/>
      <c r="T59" s="1"/>
      <c r="U59" s="12"/>
      <c r="V59" s="1"/>
    </row>
    <row r="60" ht="13.5" customHeight="1">
      <c r="A60" s="1"/>
      <c r="B60" s="1"/>
      <c r="C60" s="1"/>
      <c r="D60" s="1"/>
      <c r="E60" s="3"/>
      <c r="F60" s="3"/>
      <c r="G60" s="3"/>
      <c r="H60" s="3"/>
      <c r="I60" s="4"/>
      <c r="J60" s="5"/>
      <c r="K60" s="5"/>
      <c r="L60" s="5"/>
      <c r="M60" s="5"/>
      <c r="N60" s="5"/>
      <c r="O60" s="5"/>
      <c r="P60" s="5"/>
      <c r="Q60" s="1"/>
      <c r="R60" s="1"/>
      <c r="S60" s="1"/>
      <c r="T60" s="1"/>
      <c r="U60" s="12"/>
      <c r="V60" s="1"/>
    </row>
    <row r="61" ht="13.5" customHeight="1">
      <c r="A61" s="1"/>
      <c r="B61" s="1"/>
      <c r="C61" s="1"/>
      <c r="D61" s="1"/>
      <c r="E61" s="3"/>
      <c r="F61" s="3"/>
      <c r="G61" s="3"/>
      <c r="H61" s="3"/>
      <c r="I61" s="4"/>
      <c r="J61" s="5"/>
      <c r="K61" s="5"/>
      <c r="L61" s="5"/>
      <c r="M61" s="5"/>
      <c r="N61" s="5"/>
      <c r="O61" s="5"/>
      <c r="P61" s="5"/>
      <c r="Q61" s="1"/>
      <c r="R61" s="1"/>
      <c r="S61" s="1"/>
      <c r="T61" s="1"/>
      <c r="U61" s="12"/>
      <c r="V61" s="1"/>
    </row>
    <row r="62" ht="13.5" customHeight="1">
      <c r="A62" s="1"/>
      <c r="B62" s="1"/>
      <c r="C62" s="1"/>
      <c r="D62" s="1"/>
      <c r="E62" s="3"/>
      <c r="F62" s="3"/>
      <c r="G62" s="3"/>
      <c r="H62" s="3"/>
      <c r="I62" s="4"/>
      <c r="J62" s="5"/>
      <c r="K62" s="5"/>
      <c r="L62" s="5"/>
      <c r="M62" s="5"/>
      <c r="N62" s="5"/>
      <c r="O62" s="5"/>
      <c r="P62" s="5"/>
      <c r="Q62" s="1"/>
      <c r="R62" s="1"/>
      <c r="S62" s="1"/>
      <c r="T62" s="1"/>
      <c r="U62" s="8"/>
      <c r="V62" s="1"/>
    </row>
    <row r="63" ht="13.5" customHeight="1">
      <c r="A63" s="1"/>
      <c r="B63" s="1"/>
      <c r="C63" s="1"/>
      <c r="D63" s="1"/>
      <c r="E63" s="3"/>
      <c r="F63" s="3"/>
      <c r="G63" s="3"/>
      <c r="H63" s="3"/>
      <c r="I63" s="4"/>
      <c r="J63" s="5"/>
      <c r="K63" s="5"/>
      <c r="L63" s="5"/>
      <c r="M63" s="5"/>
      <c r="N63" s="5"/>
      <c r="O63" s="5"/>
      <c r="P63" s="5"/>
      <c r="Q63" s="1"/>
      <c r="R63" s="1"/>
      <c r="S63" s="1"/>
      <c r="T63" s="1"/>
      <c r="U63" s="8"/>
      <c r="V63" s="1"/>
    </row>
    <row r="64" ht="13.5" customHeight="1">
      <c r="A64" s="1"/>
      <c r="B64" s="1"/>
      <c r="C64" s="1"/>
      <c r="D64" s="1"/>
      <c r="E64" s="3"/>
      <c r="F64" s="3"/>
      <c r="G64" s="3"/>
      <c r="H64" s="3"/>
      <c r="I64" s="4"/>
      <c r="J64" s="5"/>
      <c r="K64" s="5"/>
      <c r="L64" s="5"/>
      <c r="M64" s="5"/>
      <c r="N64" s="5"/>
      <c r="O64" s="5"/>
      <c r="P64" s="5"/>
      <c r="Q64" s="1"/>
      <c r="R64" s="1"/>
      <c r="S64" s="1"/>
      <c r="T64" s="1"/>
      <c r="U64" s="26"/>
      <c r="V64" s="1"/>
    </row>
    <row r="65" ht="13.5" customHeight="1">
      <c r="A65" s="1"/>
      <c r="B65" s="1"/>
      <c r="C65" s="1"/>
      <c r="D65" s="1"/>
      <c r="E65" s="3"/>
      <c r="F65" s="3"/>
      <c r="G65" s="3"/>
      <c r="H65" s="3"/>
      <c r="I65" s="4"/>
      <c r="J65" s="5"/>
      <c r="K65" s="5"/>
      <c r="L65" s="5"/>
      <c r="M65" s="5"/>
      <c r="N65" s="5"/>
      <c r="O65" s="5"/>
      <c r="P65" s="5"/>
      <c r="Q65" s="1"/>
      <c r="R65" s="1"/>
      <c r="S65" s="1"/>
      <c r="T65" s="1"/>
      <c r="U65" s="8"/>
      <c r="V65" s="1"/>
    </row>
    <row r="66" ht="13.5" customHeight="1">
      <c r="A66" s="1"/>
      <c r="B66" s="1"/>
      <c r="C66" s="1"/>
      <c r="D66" s="1"/>
      <c r="E66" s="3"/>
      <c r="F66" s="3"/>
      <c r="G66" s="3"/>
      <c r="H66" s="3"/>
      <c r="I66" s="4"/>
      <c r="J66" s="5"/>
      <c r="K66" s="5"/>
      <c r="L66" s="5"/>
      <c r="M66" s="5"/>
      <c r="N66" s="5"/>
      <c r="O66" s="5"/>
      <c r="P66" s="5"/>
      <c r="Q66" s="1"/>
      <c r="R66" s="1"/>
      <c r="S66" s="1"/>
      <c r="T66" s="1"/>
      <c r="U66" s="8"/>
      <c r="V66" s="1"/>
    </row>
    <row r="67" ht="13.5" customHeight="1">
      <c r="A67" s="1"/>
      <c r="B67" s="1"/>
      <c r="C67" s="1"/>
      <c r="D67" s="1"/>
      <c r="E67" s="3"/>
      <c r="F67" s="3"/>
      <c r="G67" s="3"/>
      <c r="H67" s="3"/>
      <c r="I67" s="4"/>
      <c r="J67" s="5"/>
      <c r="K67" s="5"/>
      <c r="L67" s="5"/>
      <c r="M67" s="5"/>
      <c r="N67" s="5"/>
      <c r="O67" s="5"/>
      <c r="P67" s="5"/>
      <c r="Q67" s="1"/>
      <c r="R67" s="1"/>
      <c r="S67" s="1"/>
      <c r="T67" s="1"/>
      <c r="U67" s="8"/>
      <c r="V67" s="1"/>
    </row>
    <row r="68" ht="13.5" customHeight="1">
      <c r="A68" s="1"/>
      <c r="B68" s="1"/>
      <c r="C68" s="1"/>
      <c r="D68" s="1"/>
      <c r="E68" s="3"/>
      <c r="F68" s="3"/>
      <c r="G68" s="3"/>
      <c r="H68" s="3"/>
      <c r="I68" s="4"/>
      <c r="J68" s="5"/>
      <c r="K68" s="5"/>
      <c r="L68" s="5"/>
      <c r="M68" s="5"/>
      <c r="N68" s="5"/>
      <c r="O68" s="5"/>
      <c r="P68" s="5"/>
      <c r="Q68" s="1"/>
      <c r="R68" s="1"/>
      <c r="S68" s="1"/>
      <c r="T68" s="1"/>
      <c r="U68" s="8"/>
      <c r="V68" s="1"/>
    </row>
    <row r="69" ht="13.5" customHeight="1">
      <c r="A69" s="1"/>
      <c r="B69" s="1"/>
      <c r="C69" s="1"/>
      <c r="D69" s="1"/>
      <c r="E69" s="3"/>
      <c r="F69" s="3"/>
      <c r="G69" s="3"/>
      <c r="H69" s="3"/>
      <c r="I69" s="4"/>
      <c r="J69" s="5"/>
      <c r="K69" s="5"/>
      <c r="L69" s="5"/>
      <c r="M69" s="5"/>
      <c r="N69" s="5"/>
      <c r="O69" s="5"/>
      <c r="P69" s="5"/>
      <c r="Q69" s="1"/>
      <c r="R69" s="1"/>
      <c r="S69" s="1"/>
      <c r="T69" s="1"/>
      <c r="U69" s="8"/>
      <c r="V69" s="1"/>
    </row>
    <row r="70" ht="13.5" customHeight="1">
      <c r="A70" s="1"/>
      <c r="B70" s="1"/>
      <c r="C70" s="1"/>
      <c r="D70" s="1"/>
      <c r="E70" s="3"/>
      <c r="F70" s="3"/>
      <c r="G70" s="3"/>
      <c r="H70" s="3"/>
      <c r="I70" s="4"/>
      <c r="J70" s="5"/>
      <c r="K70" s="5"/>
      <c r="L70" s="5"/>
      <c r="M70" s="5"/>
      <c r="N70" s="5"/>
      <c r="O70" s="5"/>
      <c r="P70" s="5"/>
      <c r="Q70" s="1"/>
      <c r="R70" s="1"/>
      <c r="S70" s="1"/>
      <c r="T70" s="1"/>
      <c r="U70" s="8"/>
      <c r="V70" s="1"/>
    </row>
    <row r="71" ht="13.5" customHeight="1">
      <c r="A71" s="1"/>
      <c r="B71" s="1"/>
      <c r="C71" s="1"/>
      <c r="D71" s="1"/>
      <c r="E71" s="3"/>
      <c r="F71" s="3"/>
      <c r="G71" s="3"/>
      <c r="H71" s="3"/>
      <c r="I71" s="4"/>
      <c r="J71" s="5"/>
      <c r="K71" s="5"/>
      <c r="L71" s="5"/>
      <c r="M71" s="5"/>
      <c r="N71" s="5"/>
      <c r="O71" s="5"/>
      <c r="P71" s="5"/>
      <c r="Q71" s="1"/>
      <c r="R71" s="1"/>
      <c r="S71" s="1"/>
      <c r="T71" s="1"/>
      <c r="U71" s="8"/>
      <c r="V71" s="1"/>
    </row>
    <row r="72" ht="13.5" customHeight="1">
      <c r="A72" s="1"/>
      <c r="B72" s="1"/>
      <c r="C72" s="1"/>
      <c r="D72" s="1"/>
      <c r="E72" s="3"/>
      <c r="F72" s="3"/>
      <c r="G72" s="3"/>
      <c r="H72" s="3"/>
      <c r="I72" s="4"/>
      <c r="J72" s="5"/>
      <c r="K72" s="5"/>
      <c r="L72" s="5"/>
      <c r="M72" s="5"/>
      <c r="N72" s="5"/>
      <c r="O72" s="5"/>
      <c r="P72" s="5"/>
      <c r="Q72" s="1"/>
      <c r="R72" s="1"/>
      <c r="S72" s="1"/>
      <c r="T72" s="1"/>
      <c r="U72" s="8"/>
      <c r="V72" s="1"/>
    </row>
    <row r="73" ht="13.5" customHeight="1">
      <c r="A73" s="1"/>
      <c r="B73" s="1"/>
      <c r="C73" s="1"/>
      <c r="D73" s="1"/>
      <c r="E73" s="3"/>
      <c r="F73" s="3"/>
      <c r="G73" s="3"/>
      <c r="H73" s="3"/>
      <c r="I73" s="4"/>
      <c r="J73" s="5"/>
      <c r="K73" s="5"/>
      <c r="L73" s="5"/>
      <c r="M73" s="5"/>
      <c r="N73" s="5"/>
      <c r="O73" s="5"/>
      <c r="P73" s="5"/>
      <c r="Q73" s="1"/>
      <c r="R73" s="1"/>
      <c r="S73" s="1"/>
      <c r="T73" s="1"/>
      <c r="U73" s="21"/>
      <c r="V73" s="1"/>
    </row>
    <row r="74" ht="13.5" customHeight="1">
      <c r="A74" s="1"/>
      <c r="B74" s="1"/>
      <c r="C74" s="1"/>
      <c r="D74" s="1"/>
      <c r="E74" s="3"/>
      <c r="F74" s="3"/>
      <c r="G74" s="3"/>
      <c r="H74" s="3"/>
      <c r="I74" s="4"/>
      <c r="J74" s="5"/>
      <c r="K74" s="5"/>
      <c r="L74" s="5"/>
      <c r="M74" s="5"/>
      <c r="N74" s="5"/>
      <c r="O74" s="5"/>
      <c r="P74" s="5"/>
      <c r="Q74" s="1"/>
      <c r="R74" s="1"/>
      <c r="S74" s="1"/>
      <c r="T74" s="1"/>
      <c r="U74" s="21"/>
      <c r="V74" s="1"/>
    </row>
    <row r="75" ht="13.5" customHeight="1">
      <c r="A75" s="1"/>
      <c r="B75" s="1"/>
      <c r="C75" s="1"/>
      <c r="D75" s="1"/>
      <c r="E75" s="3"/>
      <c r="F75" s="3"/>
      <c r="G75" s="3"/>
      <c r="H75" s="3"/>
      <c r="I75" s="4"/>
      <c r="J75" s="5"/>
      <c r="K75" s="5"/>
      <c r="L75" s="5"/>
      <c r="M75" s="5"/>
      <c r="N75" s="5"/>
      <c r="O75" s="5"/>
      <c r="P75" s="5"/>
      <c r="Q75" s="1"/>
      <c r="R75" s="1"/>
      <c r="S75" s="1"/>
      <c r="T75" s="1"/>
      <c r="U75" s="21"/>
      <c r="V75" s="1"/>
    </row>
    <row r="76" ht="13.5" customHeight="1">
      <c r="A76" s="1"/>
      <c r="B76" s="1"/>
      <c r="C76" s="1"/>
      <c r="D76" s="1"/>
      <c r="E76" s="3"/>
      <c r="F76" s="3"/>
      <c r="G76" s="3"/>
      <c r="H76" s="3"/>
      <c r="I76" s="4"/>
      <c r="J76" s="5"/>
      <c r="K76" s="5"/>
      <c r="L76" s="5"/>
      <c r="M76" s="5"/>
      <c r="N76" s="5"/>
      <c r="O76" s="5"/>
      <c r="P76" s="5"/>
      <c r="Q76" s="1"/>
      <c r="R76" s="1"/>
      <c r="S76" s="1"/>
      <c r="T76" s="1"/>
      <c r="U76" s="21"/>
      <c r="V76" s="1"/>
    </row>
    <row r="77" ht="13.5" customHeight="1">
      <c r="A77" s="1"/>
      <c r="B77" s="1"/>
      <c r="C77" s="1"/>
      <c r="D77" s="1"/>
      <c r="E77" s="3"/>
      <c r="F77" s="3"/>
      <c r="G77" s="3"/>
      <c r="H77" s="3"/>
      <c r="I77" s="4"/>
      <c r="J77" s="5"/>
      <c r="K77" s="5"/>
      <c r="L77" s="5"/>
      <c r="M77" s="5"/>
      <c r="N77" s="5"/>
      <c r="O77" s="5"/>
      <c r="P77" s="5"/>
      <c r="Q77" s="1"/>
      <c r="R77" s="1"/>
      <c r="S77" s="1"/>
      <c r="T77" s="1"/>
      <c r="U77" s="21"/>
      <c r="V77" s="1"/>
    </row>
    <row r="78" ht="13.5" customHeight="1">
      <c r="A78" s="1"/>
      <c r="B78" s="1"/>
      <c r="C78" s="1"/>
      <c r="D78" s="1"/>
      <c r="E78" s="3"/>
      <c r="F78" s="3"/>
      <c r="G78" s="3"/>
      <c r="H78" s="3"/>
      <c r="I78" s="4"/>
      <c r="J78" s="5"/>
      <c r="K78" s="5"/>
      <c r="L78" s="5"/>
      <c r="M78" s="5"/>
      <c r="N78" s="5"/>
      <c r="O78" s="5"/>
      <c r="P78" s="5"/>
      <c r="Q78" s="1"/>
      <c r="R78" s="1"/>
      <c r="S78" s="1"/>
      <c r="T78" s="1"/>
      <c r="U78" s="21"/>
      <c r="V78" s="1"/>
    </row>
    <row r="79" ht="13.5" customHeight="1">
      <c r="A79" s="1"/>
      <c r="B79" s="1"/>
      <c r="C79" s="1"/>
      <c r="D79" s="1"/>
      <c r="E79" s="3"/>
      <c r="F79" s="3"/>
      <c r="G79" s="3"/>
      <c r="H79" s="3"/>
      <c r="I79" s="4"/>
      <c r="J79" s="5"/>
      <c r="K79" s="5"/>
      <c r="L79" s="5"/>
      <c r="M79" s="5"/>
      <c r="N79" s="5"/>
      <c r="O79" s="5"/>
      <c r="P79" s="5"/>
      <c r="Q79" s="1"/>
      <c r="R79" s="1"/>
      <c r="S79" s="1"/>
      <c r="T79" s="1"/>
      <c r="U79" s="21"/>
      <c r="V79" s="1"/>
    </row>
    <row r="80" ht="13.5" customHeight="1">
      <c r="A80" s="1"/>
      <c r="B80" s="1"/>
      <c r="C80" s="1"/>
      <c r="D80" s="1"/>
      <c r="E80" s="3"/>
      <c r="F80" s="3"/>
      <c r="G80" s="3"/>
      <c r="H80" s="3"/>
      <c r="I80" s="4"/>
      <c r="J80" s="5"/>
      <c r="K80" s="5"/>
      <c r="L80" s="5"/>
      <c r="M80" s="5"/>
      <c r="N80" s="5"/>
      <c r="O80" s="5"/>
      <c r="P80" s="5"/>
      <c r="Q80" s="1"/>
      <c r="R80" s="1"/>
      <c r="S80" s="1"/>
      <c r="T80" s="1"/>
      <c r="U80" s="21"/>
      <c r="V80" s="1"/>
    </row>
    <row r="81" ht="13.5" customHeight="1">
      <c r="A81" s="1"/>
      <c r="B81" s="1"/>
      <c r="C81" s="1"/>
      <c r="D81" s="1"/>
      <c r="E81" s="3"/>
      <c r="F81" s="3"/>
      <c r="G81" s="3"/>
      <c r="H81" s="3"/>
      <c r="I81" s="4"/>
      <c r="J81" s="5"/>
      <c r="K81" s="5"/>
      <c r="L81" s="5"/>
      <c r="M81" s="5"/>
      <c r="N81" s="5"/>
      <c r="O81" s="5"/>
      <c r="P81" s="5"/>
      <c r="Q81" s="1"/>
      <c r="R81" s="1"/>
      <c r="S81" s="1"/>
      <c r="T81" s="1"/>
      <c r="U81" s="21"/>
      <c r="V81" s="1"/>
    </row>
    <row r="82" ht="13.5" customHeight="1">
      <c r="A82" s="1"/>
      <c r="B82" s="1"/>
      <c r="C82" s="1"/>
      <c r="D82" s="1"/>
      <c r="E82" s="3"/>
      <c r="F82" s="3"/>
      <c r="G82" s="3"/>
      <c r="H82" s="3"/>
      <c r="I82" s="4"/>
      <c r="J82" s="5"/>
      <c r="K82" s="5"/>
      <c r="L82" s="5"/>
      <c r="M82" s="5"/>
      <c r="N82" s="5"/>
      <c r="O82" s="5"/>
      <c r="P82" s="5"/>
      <c r="Q82" s="1"/>
      <c r="R82" s="1"/>
      <c r="S82" s="1"/>
      <c r="T82" s="1"/>
      <c r="U82" s="21"/>
      <c r="V82" s="1"/>
    </row>
    <row r="83" ht="13.5" customHeight="1">
      <c r="A83" s="1"/>
      <c r="B83" s="1"/>
      <c r="C83" s="1"/>
      <c r="D83" s="1"/>
      <c r="E83" s="3"/>
      <c r="F83" s="3"/>
      <c r="G83" s="3"/>
      <c r="H83" s="3"/>
      <c r="I83" s="4"/>
      <c r="J83" s="5"/>
      <c r="K83" s="5"/>
      <c r="L83" s="5"/>
      <c r="M83" s="5"/>
      <c r="N83" s="5"/>
      <c r="O83" s="5"/>
      <c r="P83" s="5"/>
      <c r="Q83" s="1"/>
      <c r="R83" s="1"/>
      <c r="S83" s="1"/>
      <c r="T83" s="1"/>
      <c r="U83" s="21"/>
      <c r="V83" s="1"/>
    </row>
    <row r="84" ht="13.5" customHeight="1">
      <c r="A84" s="1"/>
      <c r="B84" s="1"/>
      <c r="C84" s="1"/>
      <c r="D84" s="1"/>
      <c r="E84" s="3"/>
      <c r="F84" s="3"/>
      <c r="G84" s="3"/>
      <c r="H84" s="3"/>
      <c r="I84" s="4"/>
      <c r="J84" s="5"/>
      <c r="K84" s="5"/>
      <c r="L84" s="5"/>
      <c r="M84" s="5"/>
      <c r="N84" s="5"/>
      <c r="O84" s="5"/>
      <c r="P84" s="5"/>
      <c r="Q84" s="1"/>
      <c r="R84" s="1"/>
      <c r="S84" s="1"/>
      <c r="T84" s="1"/>
      <c r="U84" s="21"/>
      <c r="V84" s="1"/>
    </row>
    <row r="85">
      <c r="U85" s="21"/>
      <c r="V85" s="1"/>
    </row>
    <row r="86">
      <c r="U86" s="21"/>
      <c r="V86" s="1"/>
    </row>
    <row r="87">
      <c r="U87" s="21"/>
      <c r="V87" s="1"/>
    </row>
    <row r="88">
      <c r="U88" s="1"/>
      <c r="V88" s="1"/>
    </row>
    <row r="89">
      <c r="U89" s="1"/>
      <c r="V89" s="1"/>
    </row>
    <row r="90">
      <c r="U90" s="1"/>
      <c r="V90" s="1"/>
    </row>
    <row r="91">
      <c r="U91" s="1"/>
      <c r="V91" s="1"/>
    </row>
    <row r="92">
      <c r="U92" s="1"/>
      <c r="V92" s="1"/>
    </row>
    <row r="93">
      <c r="U93" s="1"/>
      <c r="V93" s="1"/>
    </row>
    <row r="94">
      <c r="U94" s="1"/>
      <c r="V94" s="1"/>
    </row>
    <row r="95">
      <c r="U95" s="1"/>
      <c r="V95" s="1"/>
    </row>
    <row r="96">
      <c r="U96" s="1"/>
      <c r="V96" s="1"/>
    </row>
    <row r="97">
      <c r="U97" s="1"/>
      <c r="V97" s="1"/>
    </row>
    <row r="98">
      <c r="U98" s="1"/>
      <c r="V98" s="1"/>
    </row>
    <row r="99">
      <c r="U99" s="1"/>
      <c r="V99" s="1"/>
    </row>
    <row r="100">
      <c r="U100" s="1"/>
      <c r="V100" s="1"/>
    </row>
    <row r="101">
      <c r="U101" s="1"/>
      <c r="V101" s="1"/>
    </row>
    <row r="102">
      <c r="U102" s="1"/>
      <c r="V102" s="1"/>
    </row>
    <row r="103">
      <c r="U103" s="1"/>
      <c r="V103" s="1"/>
    </row>
    <row r="104">
      <c r="U104" s="1"/>
      <c r="V104" s="1"/>
    </row>
    <row r="105">
      <c r="U105" s="1"/>
      <c r="V105" s="1"/>
    </row>
    <row r="106">
      <c r="U106" s="1"/>
      <c r="V106" s="1"/>
    </row>
    <row r="107">
      <c r="U107" s="1"/>
      <c r="V107" s="1"/>
    </row>
    <row r="108">
      <c r="U108" s="1"/>
      <c r="V108" s="1"/>
    </row>
    <row r="109">
      <c r="U109" s="1"/>
      <c r="V109" s="1"/>
    </row>
    <row r="110">
      <c r="U110" s="1"/>
      <c r="V110" s="1"/>
    </row>
    <row r="111">
      <c r="U111" s="1"/>
      <c r="V111" s="1"/>
    </row>
    <row r="112">
      <c r="U112" s="1"/>
      <c r="V112" s="1"/>
    </row>
    <row r="113">
      <c r="U113" s="1"/>
      <c r="V113" s="1"/>
    </row>
    <row r="114">
      <c r="U114" s="1"/>
      <c r="V114" s="1"/>
    </row>
    <row r="115">
      <c r="U115" s="1"/>
      <c r="V115" s="1"/>
    </row>
    <row r="116">
      <c r="U116" s="1"/>
      <c r="V116" s="1"/>
    </row>
    <row r="117">
      <c r="U117" s="1"/>
      <c r="V117" s="1"/>
    </row>
    <row r="118">
      <c r="U118" s="1"/>
      <c r="V118" s="1"/>
    </row>
    <row r="119">
      <c r="U119" s="1"/>
      <c r="V119" s="1"/>
    </row>
    <row r="120">
      <c r="U120" s="1"/>
      <c r="V120" s="1"/>
    </row>
    <row r="121">
      <c r="U121" s="1"/>
      <c r="V121" s="1"/>
    </row>
    <row r="122">
      <c r="U122" s="1"/>
      <c r="V122" s="1"/>
    </row>
    <row r="123">
      <c r="U123" s="1"/>
      <c r="V123" s="1"/>
    </row>
    <row r="124">
      <c r="U124" s="1"/>
      <c r="V124" s="1"/>
    </row>
    <row r="125">
      <c r="U125" s="1"/>
      <c r="V125" s="1"/>
    </row>
    <row r="126">
      <c r="U126" s="1"/>
      <c r="V126" s="1"/>
    </row>
    <row r="127">
      <c r="U127" s="1"/>
      <c r="V127" s="1"/>
    </row>
    <row r="128">
      <c r="U128" s="1"/>
      <c r="V128" s="1"/>
    </row>
    <row r="129">
      <c r="U129" s="1"/>
      <c r="V129" s="1"/>
    </row>
    <row r="130">
      <c r="U130" s="1"/>
      <c r="V130" s="1"/>
    </row>
    <row r="131">
      <c r="U131" s="1"/>
      <c r="V131" s="1"/>
    </row>
    <row r="132">
      <c r="U132" s="1"/>
      <c r="V132" s="1"/>
    </row>
    <row r="133">
      <c r="U133" s="1"/>
      <c r="V133" s="1"/>
    </row>
    <row r="134">
      <c r="U134" s="1"/>
      <c r="V134" s="1"/>
    </row>
    <row r="135">
      <c r="U135" s="1"/>
      <c r="V135" s="1"/>
    </row>
    <row r="136">
      <c r="U136" s="1"/>
      <c r="V136" s="1"/>
    </row>
    <row r="137">
      <c r="U137" s="1"/>
      <c r="V137" s="1"/>
    </row>
    <row r="138">
      <c r="U138" s="1"/>
      <c r="V138" s="1"/>
    </row>
    <row r="139">
      <c r="U139" s="1"/>
      <c r="V139" s="1"/>
    </row>
    <row r="140">
      <c r="U140" s="1"/>
      <c r="V140" s="1"/>
    </row>
    <row r="141">
      <c r="U141" s="1"/>
      <c r="V141" s="1"/>
    </row>
    <row r="142">
      <c r="U142" s="1"/>
      <c r="V142" s="1"/>
    </row>
    <row r="143">
      <c r="U143" s="1"/>
      <c r="V143" s="1"/>
    </row>
    <row r="144">
      <c r="U144" s="1"/>
      <c r="V144" s="1"/>
    </row>
    <row r="145">
      <c r="U145" s="1"/>
      <c r="V145" s="1"/>
    </row>
    <row r="146">
      <c r="U146" s="1"/>
      <c r="V146" s="1"/>
    </row>
    <row r="147">
      <c r="U147" s="1"/>
      <c r="V147" s="1"/>
    </row>
    <row r="148">
      <c r="U148" s="1"/>
      <c r="V148" s="1"/>
    </row>
    <row r="149">
      <c r="U149" s="1"/>
      <c r="V149" s="1"/>
    </row>
    <row r="150">
      <c r="U150" s="1"/>
      <c r="V150" s="1"/>
    </row>
    <row r="151">
      <c r="U151" s="1"/>
      <c r="V151" s="1"/>
    </row>
    <row r="152">
      <c r="U152" s="1"/>
      <c r="V152" s="1"/>
    </row>
    <row r="153">
      <c r="U153" s="1"/>
      <c r="V153" s="1"/>
    </row>
    <row r="154">
      <c r="U154" s="1"/>
      <c r="V154" s="1"/>
    </row>
    <row r="155">
      <c r="U155" s="1"/>
      <c r="V155" s="1"/>
    </row>
    <row r="156">
      <c r="U156" s="1"/>
      <c r="V156" s="1"/>
    </row>
    <row r="157">
      <c r="U157" s="1"/>
      <c r="V157" s="1"/>
    </row>
    <row r="158">
      <c r="U158" s="1"/>
      <c r="V158" s="1"/>
    </row>
    <row r="159">
      <c r="U159" s="1"/>
      <c r="V159" s="1"/>
    </row>
    <row r="160">
      <c r="U160" s="1"/>
      <c r="V160" s="1"/>
    </row>
    <row r="161">
      <c r="U161" s="1"/>
      <c r="V161" s="1"/>
    </row>
    <row r="162">
      <c r="U162" s="1"/>
      <c r="V162" s="1"/>
    </row>
    <row r="163">
      <c r="U163" s="1"/>
      <c r="V163" s="1"/>
    </row>
    <row r="164">
      <c r="U164" s="1"/>
      <c r="V164" s="1"/>
    </row>
    <row r="165">
      <c r="U165" s="1"/>
      <c r="V165" s="1"/>
    </row>
    <row r="166">
      <c r="U166" s="1"/>
      <c r="V166" s="1"/>
    </row>
    <row r="167">
      <c r="U167" s="1"/>
      <c r="V167" s="1"/>
    </row>
    <row r="168">
      <c r="U168" s="1"/>
      <c r="V168" s="1"/>
    </row>
    <row r="169">
      <c r="U169" s="1"/>
      <c r="V169" s="1"/>
    </row>
    <row r="170">
      <c r="U170" s="1"/>
      <c r="V170" s="1"/>
    </row>
    <row r="171">
      <c r="U171" s="1"/>
      <c r="V171" s="1"/>
    </row>
    <row r="172">
      <c r="U172" s="1"/>
      <c r="V172" s="1"/>
    </row>
    <row r="173">
      <c r="U173" s="1"/>
      <c r="V173" s="1"/>
    </row>
    <row r="174">
      <c r="U174" s="1"/>
      <c r="V174" s="1"/>
    </row>
    <row r="175">
      <c r="U175" s="1"/>
      <c r="V175" s="1"/>
    </row>
    <row r="176">
      <c r="U176" s="1"/>
      <c r="V176" s="1"/>
    </row>
    <row r="177">
      <c r="U177" s="1"/>
      <c r="V177" s="1"/>
    </row>
    <row r="178">
      <c r="U178" s="1"/>
      <c r="V178" s="1"/>
    </row>
    <row r="179">
      <c r="U179" s="1"/>
      <c r="V179" s="1"/>
    </row>
    <row r="180">
      <c r="U180" s="1"/>
      <c r="V180" s="1"/>
    </row>
    <row r="181">
      <c r="U181" s="1"/>
      <c r="V181" s="1"/>
    </row>
    <row r="182">
      <c r="U182" s="1"/>
      <c r="V182" s="1"/>
    </row>
    <row r="183">
      <c r="U183" s="1"/>
      <c r="V183" s="1"/>
    </row>
    <row r="184">
      <c r="U184" s="1"/>
      <c r="V184" s="1"/>
    </row>
    <row r="185">
      <c r="U185" s="1"/>
      <c r="V185" s="1"/>
    </row>
    <row r="186">
      <c r="U186" s="1"/>
      <c r="V186" s="1"/>
    </row>
    <row r="187">
      <c r="U187" s="1"/>
      <c r="V187" s="1"/>
    </row>
    <row r="188">
      <c r="U188" s="1"/>
      <c r="V188" s="1"/>
    </row>
    <row r="189">
      <c r="U189" s="1"/>
      <c r="V189" s="1"/>
    </row>
    <row r="190">
      <c r="U190" s="1"/>
      <c r="V190" s="1"/>
    </row>
    <row r="191">
      <c r="U191" s="1"/>
      <c r="V191" s="1"/>
    </row>
    <row r="192">
      <c r="U192" s="1"/>
      <c r="V192" s="1"/>
    </row>
    <row r="193">
      <c r="U193" s="1"/>
      <c r="V193" s="1"/>
    </row>
    <row r="194">
      <c r="U194" s="1"/>
      <c r="V194" s="1"/>
    </row>
    <row r="195">
      <c r="U195" s="1"/>
      <c r="V195" s="1"/>
    </row>
    <row r="196">
      <c r="U196" s="1"/>
      <c r="V196" s="1"/>
    </row>
    <row r="197">
      <c r="U197" s="1"/>
      <c r="V197" s="1"/>
    </row>
    <row r="198">
      <c r="U198" s="1"/>
      <c r="V198" s="1"/>
    </row>
    <row r="199">
      <c r="U199" s="1"/>
      <c r="V199" s="1"/>
    </row>
    <row r="200">
      <c r="U200" s="1"/>
      <c r="V200" s="1"/>
    </row>
    <row r="201">
      <c r="U201" s="1"/>
      <c r="V201" s="1"/>
    </row>
    <row r="202">
      <c r="U202" s="1"/>
      <c r="V202" s="1"/>
    </row>
    <row r="203">
      <c r="U203" s="1"/>
      <c r="V203" s="1"/>
    </row>
    <row r="204">
      <c r="U204" s="1"/>
      <c r="V204" s="1"/>
    </row>
    <row r="205">
      <c r="U205" s="1"/>
      <c r="V205" s="1"/>
    </row>
    <row r="206">
      <c r="U206" s="1"/>
      <c r="V206" s="1"/>
    </row>
    <row r="207">
      <c r="U207" s="1"/>
      <c r="V207" s="1"/>
    </row>
    <row r="208">
      <c r="U208" s="1"/>
      <c r="V208" s="1"/>
    </row>
    <row r="209">
      <c r="U209" s="1"/>
      <c r="V209" s="1"/>
    </row>
    <row r="210">
      <c r="U210" s="1"/>
      <c r="V210" s="1"/>
    </row>
    <row r="211">
      <c r="U211" s="1"/>
      <c r="V211" s="1"/>
    </row>
    <row r="212">
      <c r="U212" s="1"/>
      <c r="V212" s="1"/>
    </row>
    <row r="213">
      <c r="U213" s="1"/>
      <c r="V213" s="1"/>
    </row>
    <row r="214">
      <c r="U214" s="1"/>
      <c r="V214" s="1"/>
    </row>
    <row r="215">
      <c r="U215" s="1"/>
      <c r="V215" s="1"/>
    </row>
    <row r="216">
      <c r="U216" s="1"/>
      <c r="V216" s="1"/>
    </row>
    <row r="217">
      <c r="U217" s="1"/>
      <c r="V217" s="1"/>
    </row>
    <row r="218">
      <c r="U218" s="1"/>
      <c r="V218" s="1"/>
    </row>
    <row r="219">
      <c r="U219" s="1"/>
      <c r="V219" s="1"/>
    </row>
    <row r="220">
      <c r="U220" s="1"/>
      <c r="V220" s="1"/>
    </row>
    <row r="221">
      <c r="U221" s="1"/>
    </row>
    <row r="222">
      <c r="U222" s="1"/>
    </row>
    <row r="223">
      <c r="U223" s="1"/>
    </row>
    <row r="224">
      <c r="U224" s="1"/>
    </row>
    <row r="225">
      <c r="U225" s="1"/>
    </row>
    <row r="226">
      <c r="U226" s="1"/>
    </row>
    <row r="227">
      <c r="U227" s="1"/>
    </row>
    <row r="228">
      <c r="U228" s="1"/>
    </row>
    <row r="229">
      <c r="U229" s="1"/>
    </row>
    <row r="230">
      <c r="U230" s="1"/>
    </row>
    <row r="231">
      <c r="U231" s="1"/>
    </row>
    <row r="232">
      <c r="U232" s="1"/>
    </row>
    <row r="233">
      <c r="U233" s="1"/>
    </row>
    <row r="234">
      <c r="U234" s="1"/>
    </row>
    <row r="235">
      <c r="U235" s="1"/>
    </row>
    <row r="236">
      <c r="U236" s="1"/>
    </row>
    <row r="237">
      <c r="U237" s="1"/>
    </row>
    <row r="238">
      <c r="U238" s="1"/>
    </row>
    <row r="239">
      <c r="U239" s="1"/>
    </row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</sheetData>
  <mergeCells count="3">
    <mergeCell ref="B1:C1"/>
    <mergeCell ref="D3:D4"/>
    <mergeCell ref="D5:D7"/>
  </mergeCells>
  <dataValidations>
    <dataValidation type="list" allowBlank="1" showErrorMessage="1" sqref="K9">
      <formula1>"Español,English"</formula1>
    </dataValidation>
    <dataValidation type="list" allowBlank="1" showErrorMessage="1" sqref="F11:F34">
      <formula1>TRI!$BP$12:$BP$13</formula1>
    </dataValidation>
    <dataValidation type="list" allowBlank="1" showErrorMessage="1" sqref="E11:E34">
      <formula1>TRI!$BX$12:$BX$13</formula1>
    </dataValidation>
  </dataValidations>
  <printOptions/>
  <pageMargins bottom="0.75" footer="0.0" header="0.0" left="0.75" right="0.25" top="1.0"/>
  <pageSetup fitToHeight="0" paperSize="9" orientation="landscape"/>
  <drawing r:id="rId1"/>
</worksheet>
</file>