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LF" sheetId="1" r:id="rId4"/>
  </sheets>
  <definedNames/>
  <calcPr/>
</workbook>
</file>

<file path=xl/sharedStrings.xml><?xml version="1.0" encoding="utf-8"?>
<sst xmlns="http://schemas.openxmlformats.org/spreadsheetml/2006/main" count="1099" uniqueCount="670">
  <si>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</si>
  <si>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</si>
  <si>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</si>
  <si>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</si>
  <si>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</si>
  <si>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</si>
  <si>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</si>
  <si>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</si>
  <si>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</si>
  <si>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</si>
  <si>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</si>
  <si>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</si>
  <si>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</si>
  <si>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</si>
  <si>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</si>
  <si>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</si>
  <si>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</si>
  <si>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</si>
  <si>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</si>
  <si>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</si>
  <si>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</si>
  <si>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</si>
  <si>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</si>
  <si>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</si>
  <si>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</si>
  <si>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</si>
  <si>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</si>
  <si>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</si>
  <si>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</si>
  <si>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</si>
  <si>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</si>
  <si>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</si>
  <si>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</si>
  <si>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</si>
  <si>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</si>
  <si>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</si>
  <si>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</si>
  <si>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</si>
  <si>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</si>
  <si>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</si>
  <si>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</si>
  <si>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</si>
  <si>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</si>
  <si>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</si>
  <si>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</si>
  <si>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</si>
  <si>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</si>
  <si>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</si>
  <si>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</si>
  <si>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</si>
  <si>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</si>
  <si>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</si>
  <si>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</si>
  <si>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</si>
  <si>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</si>
  <si>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</si>
  <si>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</si>
  <si>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</si>
  <si>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</si>
  <si>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</si>
  <si>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</si>
  <si>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</si>
  <si>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</si>
  <si>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</si>
  <si>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</si>
  <si>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</si>
  <si>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</si>
  <si>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</si>
  <si>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</si>
  <si>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</si>
  <si>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</si>
  <si>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</si>
  <si>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</si>
  <si>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</si>
  <si>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</si>
  <si>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</si>
  <si>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</si>
  <si>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</si>
  <si>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</si>
  <si>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</si>
  <si>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</si>
  <si>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</si>
  <si>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</si>
  <si>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</si>
  <si>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</si>
  <si>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</si>
  <si>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</si>
  <si>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</si>
  <si>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</si>
  <si>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</si>
  <si>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</si>
  <si>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</si>
  <si>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</si>
  <si>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</si>
  <si>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</si>
  <si>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</si>
  <si>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</si>
  <si>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</si>
  <si>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</si>
  <si>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</si>
  <si>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</si>
  <si>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</si>
  <si>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</si>
  <si>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</si>
  <si>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</si>
  <si>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</si>
  <si>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</si>
  <si>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</si>
  <si>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</si>
  <si>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</si>
  <si>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</si>
  <si>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</si>
  <si>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</si>
  <si>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</si>
  <si>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</si>
  <si>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</si>
  <si>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</si>
  <si>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</si>
  <si>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</si>
  <si>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</si>
  <si>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</si>
  <si>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</si>
  <si>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</si>
  <si>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</si>
  <si>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</si>
  <si>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</si>
  <si>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</si>
  <si>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</si>
  <si>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</si>
  <si>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</si>
  <si>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</si>
  <si>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</si>
  <si>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</si>
  <si>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</si>
  <si>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</si>
  <si>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</si>
  <si>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</si>
  <si>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</si>
  <si>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</si>
  <si>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</si>
  <si>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</si>
  <si>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</si>
  <si>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</si>
  <si>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</si>
  <si>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</si>
  <si>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</si>
  <si>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</si>
  <si>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</si>
  <si>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</si>
  <si>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</si>
  <si>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</si>
  <si>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</si>
  <si>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</si>
  <si>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</si>
  <si>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</si>
  <si>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</si>
  <si>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</si>
  <si>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</si>
  <si>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</si>
  <si>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</si>
  <si>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</si>
  <si>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</si>
  <si>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</si>
  <si>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</si>
  <si>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</si>
  <si>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</si>
  <si>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</si>
  <si>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</si>
  <si>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</si>
  <si>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</si>
  <si>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</si>
  <si>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</si>
  <si>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</si>
  <si>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</si>
  <si>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</si>
  <si>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</si>
  <si>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</si>
  <si>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</si>
  <si>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</si>
  <si>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</si>
  <si>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</si>
  <si>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</si>
  <si>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</si>
  <si>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</si>
  <si>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</si>
  <si>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</si>
  <si>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</si>
  <si>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</si>
  <si>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</si>
  <si>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</si>
  <si>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</si>
  <si>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</si>
  <si>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</si>
  <si>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</si>
  <si>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</si>
  <si>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</si>
  <si>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</si>
  <si>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</si>
  <si>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</si>
  <si>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</si>
  <si>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</si>
  <si>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</si>
  <si>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</si>
  <si>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</si>
  <si>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</si>
  <si>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</si>
  <si>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</si>
  <si>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</si>
  <si>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</si>
  <si>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</si>
  <si>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</si>
  <si>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</si>
  <si>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</si>
  <si>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</si>
  <si>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</si>
  <si>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</si>
  <si>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</si>
  <si>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</si>
  <si>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</si>
  <si>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</si>
  <si>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</si>
  <si>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</si>
  <si>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</si>
  <si>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</si>
  <si>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</si>
  <si>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</si>
  <si>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</si>
  <si>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</si>
  <si>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</si>
  <si>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</si>
  <si>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</si>
  <si>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</si>
  <si>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</si>
  <si>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</si>
  <si>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</si>
  <si>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</si>
  <si>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</si>
  <si>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</si>
  <si>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</si>
  <si>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</si>
  <si>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</si>
  <si>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</si>
  <si>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</si>
  <si>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</si>
  <si>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</si>
  <si>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</si>
  <si>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</si>
  <si>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</si>
  <si>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</si>
  <si>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</si>
  <si>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</si>
  <si>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</si>
  <si>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</si>
  <si>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</si>
  <si>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</si>
  <si>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</si>
  <si>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</si>
  <si>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</si>
  <si>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</si>
  <si>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</si>
  <si>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</si>
  <si>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</si>
  <si>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</si>
  <si>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</si>
  <si>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</si>
  <si>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</si>
  <si>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</si>
  <si>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</si>
  <si>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</si>
  <si>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</si>
  <si>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</si>
  <si>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</si>
  <si>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</si>
  <si>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</si>
  <si>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</si>
  <si>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</si>
  <si>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</si>
  <si>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</si>
  <si>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</si>
  <si>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</si>
  <si>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</si>
  <si>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</si>
  <si>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</si>
  <si>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</si>
  <si>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</si>
  <si>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</si>
  <si>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</si>
  <si>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</si>
  <si>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</si>
  <si>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</si>
  <si>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</si>
  <si>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</si>
  <si>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</si>
  <si>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</si>
  <si>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</si>
  <si>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</si>
  <si>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</si>
  <si>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</si>
  <si>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</si>
  <si>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</si>
  <si>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</si>
  <si>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</si>
  <si>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</si>
  <si>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</si>
  <si>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</si>
  <si>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</si>
  <si>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</si>
  <si>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</si>
  <si>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</si>
  <si>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</si>
  <si>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</si>
  <si>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</si>
  <si>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</si>
  <si>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</si>
  <si>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</si>
  <si>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</si>
  <si>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</si>
  <si>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</si>
  <si>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</si>
  <si>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</si>
  <si>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</si>
  <si>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</si>
  <si>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</si>
  <si>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</si>
  <si>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</si>
  <si>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</si>
  <si>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</si>
  <si>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</si>
  <si>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</si>
  <si>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</si>
  <si>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</si>
  <si>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</si>
  <si>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</si>
  <si>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</si>
  <si>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</si>
  <si>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</si>
  <si>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</si>
  <si>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</si>
  <si>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</si>
  <si>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</si>
  <si>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</si>
  <si>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</si>
  <si>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</si>
  <si>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</si>
  <si>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</si>
  <si>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</si>
  <si>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</si>
  <si>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</si>
  <si>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</si>
  <si>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</si>
  <si>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</si>
  <si>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</si>
  <si>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</si>
  <si>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</si>
  <si>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</si>
  <si>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</si>
  <si>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</si>
  <si>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</si>
  <si>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</si>
  <si>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</si>
  <si>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</si>
  <si>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</si>
  <si>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</si>
  <si>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</si>
  <si>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</si>
  <si>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</si>
  <si>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</si>
  <si>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</si>
  <si>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</si>
  <si>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</si>
  <si>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</si>
  <si>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</si>
  <si>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</si>
  <si>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</si>
  <si>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</si>
  <si>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</si>
  <si>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</si>
  <si>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</si>
  <si>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</si>
  <si>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</si>
  <si>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</si>
  <si>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</si>
  <si>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</si>
  <si>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</si>
  <si>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</si>
  <si>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</si>
  <si>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</si>
  <si>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</si>
  <si>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</si>
  <si>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</si>
  <si>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</si>
  <si>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</si>
  <si>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</si>
  <si>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</si>
  <si>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</si>
  <si>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</si>
  <si>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</si>
  <si>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</si>
  <si>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</si>
  <si>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</si>
  <si>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</si>
  <si>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</si>
  <si>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</si>
  <si>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</si>
  <si>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</si>
  <si>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</si>
  <si>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</si>
  <si>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</si>
  <si>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</si>
  <si>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</si>
  <si>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</si>
  <si>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</si>
  <si>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</si>
  <si>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</si>
  <si>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</si>
  <si>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</si>
  <si>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</si>
  <si>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</si>
  <si>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</si>
  <si>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</si>
  <si>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</si>
  <si>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</si>
  <si>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</si>
  <si>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</si>
  <si>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</si>
  <si>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</si>
  <si>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</si>
  <si>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</si>
  <si>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</si>
  <si>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</si>
  <si>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</si>
  <si>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</si>
  <si>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</si>
  <si>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</si>
  <si>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</si>
  <si>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</si>
  <si>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</si>
  <si>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</si>
  <si>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</si>
  <si>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</si>
  <si>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</si>
  <si>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</si>
  <si>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</si>
  <si>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</si>
  <si>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</si>
  <si>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</si>
  <si>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</si>
  <si>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</si>
  <si>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</si>
  <si>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</si>
  <si>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</si>
  <si>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</si>
  <si>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</si>
  <si>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</si>
  <si>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</si>
  <si>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</si>
  <si>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</si>
  <si>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</si>
  <si>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</si>
  <si>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</si>
  <si>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</si>
  <si>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</si>
  <si>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</si>
  <si>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</si>
  <si>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</si>
  <si>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</si>
  <si>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</si>
  <si>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</si>
  <si>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</si>
  <si>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</si>
  <si>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</si>
  <si>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</si>
  <si>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</si>
  <si>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</si>
  <si>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</si>
  <si>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</si>
  <si>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</si>
  <si>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</si>
  <si>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</si>
  <si>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</si>
  <si>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</si>
  <si>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</si>
  <si>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</si>
  <si>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</si>
  <si>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</si>
  <si>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</si>
  <si>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</si>
  <si>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</si>
  <si>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</si>
  <si>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</si>
  <si>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</si>
  <si>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</si>
  <si>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</si>
  <si>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</si>
  <si>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</si>
  <si>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</si>
  <si>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</si>
  <si>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</si>
  <si>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</si>
  <si>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</si>
  <si>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</si>
  <si>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</si>
  <si>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</si>
  <si>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</si>
  <si>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</si>
  <si>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Total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</si>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</sst>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0" fillId="0" fontId="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133350</xdr:colOff>
      <xdr:row>0</xdr:row>
      <xdr:rowOff>0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123950" cy="11811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17.75"/>
    <col customWidth="1" min="6" max="6" width="23.13"/>
    <col customWidth="1" min="7" max="7" width="18.5"/>
    <col customWidth="1" min="8" max="8" width="28.5"/>
    <col customWidth="1" min="9" max="9" width="9.5"/>
    <col customWidth="1" hidden="1" min="10" max="10" width="13.0"/>
    <col customWidth="1" hidden="1" min="11" max="11" width="15.38"/>
    <col customWidth="1" hidden="1" min="12" max="12" width="13.0"/>
    <col customWidth="1" hidden="1" min="13" max="13" width="14.88"/>
    <col customWidth="1" hidden="1" min="14" max="14" width="16.75"/>
    <col customWidth="1" hidden="1" min="15" max="15" width="15.88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1" width="16.88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4"/>
      <c r="K1" s="4"/>
      <c r="L1" s="1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0"/>
      <c r="J2" s="11"/>
      <c r="K2" s="11"/>
      <c r="L2" s="8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</row>
    <row r="3" ht="12.75" customHeight="1">
      <c r="A3" s="8"/>
      <c r="B3" s="9"/>
      <c r="C3" s="9"/>
      <c r="D3" s="13" t="str">
        <f>VLOOKUP($H$9,$X$7:$CA$8,56,0)</f>
        <v>Datos Específicos para Sport Entries</v>
      </c>
      <c r="E3" s="14"/>
      <c r="F3" s="15"/>
      <c r="G3" s="15"/>
      <c r="H3" s="15"/>
      <c r="I3" s="15"/>
      <c r="J3" s="11"/>
      <c r="K3" s="11"/>
      <c r="L3" s="8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84</v>
      </c>
      <c r="IF3" s="8" t="s">
        <v>266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5"/>
      <c r="J4" s="11"/>
      <c r="K4" s="11"/>
      <c r="L4" s="8"/>
      <c r="M4" s="5"/>
      <c r="N4" s="5"/>
      <c r="O4" s="5"/>
      <c r="X4" s="12" t="s">
        <v>325</v>
      </c>
      <c r="Y4" s="8" t="s">
        <v>326</v>
      </c>
      <c r="Z4" s="8" t="s">
        <v>327</v>
      </c>
      <c r="AA4" s="8" t="s">
        <v>328</v>
      </c>
      <c r="AB4" s="8" t="s">
        <v>329</v>
      </c>
      <c r="AC4" s="8" t="s">
        <v>330</v>
      </c>
      <c r="AD4" s="8" t="s">
        <v>331</v>
      </c>
      <c r="AE4" s="8" t="s">
        <v>332</v>
      </c>
      <c r="AF4" s="8" t="s">
        <v>333</v>
      </c>
      <c r="AG4" s="8" t="s">
        <v>334</v>
      </c>
      <c r="AH4" s="8" t="s">
        <v>335</v>
      </c>
      <c r="AI4" s="8" t="s">
        <v>336</v>
      </c>
      <c r="AJ4" s="8" t="s">
        <v>337</v>
      </c>
      <c r="AK4" s="8" t="s">
        <v>338</v>
      </c>
      <c r="AL4" s="8" t="s">
        <v>339</v>
      </c>
      <c r="AM4" s="8" t="s">
        <v>340</v>
      </c>
      <c r="AN4" s="8" t="s">
        <v>341</v>
      </c>
      <c r="AO4" s="8" t="s">
        <v>342</v>
      </c>
      <c r="AP4" s="8" t="s">
        <v>343</v>
      </c>
      <c r="AQ4" s="8" t="s">
        <v>344</v>
      </c>
      <c r="AR4" s="8" t="s">
        <v>345</v>
      </c>
      <c r="AS4" s="8" t="s">
        <v>346</v>
      </c>
      <c r="AT4" s="8" t="s">
        <v>347</v>
      </c>
      <c r="AU4" s="8" t="s">
        <v>348</v>
      </c>
      <c r="AV4" s="8" t="s">
        <v>349</v>
      </c>
      <c r="AW4" s="8" t="s">
        <v>350</v>
      </c>
      <c r="AX4" s="8" t="s">
        <v>351</v>
      </c>
      <c r="AY4" s="12" t="s">
        <v>352</v>
      </c>
      <c r="AZ4" s="12" t="s">
        <v>353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354</v>
      </c>
      <c r="BI4" s="8" t="s">
        <v>355</v>
      </c>
      <c r="BJ4" s="8" t="s">
        <v>356</v>
      </c>
      <c r="BK4" s="8" t="s">
        <v>98</v>
      </c>
      <c r="BL4" s="8" t="s">
        <v>99</v>
      </c>
      <c r="BM4" s="8" t="s">
        <v>357</v>
      </c>
      <c r="BN4" s="8" t="s">
        <v>358</v>
      </c>
      <c r="BO4" s="8" t="s">
        <v>359</v>
      </c>
      <c r="BP4" s="8" t="s">
        <v>360</v>
      </c>
      <c r="BQ4" s="8" t="s">
        <v>361</v>
      </c>
      <c r="BR4" s="8" t="s">
        <v>362</v>
      </c>
      <c r="BS4" s="8" t="s">
        <v>363</v>
      </c>
      <c r="BT4" s="8" t="s">
        <v>364</v>
      </c>
      <c r="BU4" s="8" t="s">
        <v>365</v>
      </c>
      <c r="BV4" s="8" t="s">
        <v>109</v>
      </c>
      <c r="BW4" s="8" t="s">
        <v>366</v>
      </c>
      <c r="BX4" s="8" t="s">
        <v>367</v>
      </c>
      <c r="BY4" s="8" t="s">
        <v>368</v>
      </c>
      <c r="BZ4" s="8" t="s">
        <v>369</v>
      </c>
      <c r="CA4" s="8" t="s">
        <v>114</v>
      </c>
      <c r="CB4" s="8" t="s">
        <v>351</v>
      </c>
      <c r="CC4" s="8" t="s">
        <v>370</v>
      </c>
      <c r="CD4" s="12" t="s">
        <v>371</v>
      </c>
      <c r="CE4" s="12" t="s">
        <v>372</v>
      </c>
      <c r="CF4" s="12" t="s">
        <v>373</v>
      </c>
      <c r="CG4" s="12" t="s">
        <v>374</v>
      </c>
      <c r="CH4" s="12" t="s">
        <v>375</v>
      </c>
      <c r="CI4" s="8" t="s">
        <v>114</v>
      </c>
      <c r="CJ4" s="8" t="s">
        <v>376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377</v>
      </c>
      <c r="DP4" s="8" t="s">
        <v>378</v>
      </c>
      <c r="DQ4" s="8" t="s">
        <v>379</v>
      </c>
      <c r="DR4" s="8" t="s">
        <v>155</v>
      </c>
      <c r="DS4" s="8" t="s">
        <v>156</v>
      </c>
      <c r="DT4" s="8" t="s">
        <v>380</v>
      </c>
      <c r="DU4" s="8" t="s">
        <v>381</v>
      </c>
      <c r="DV4" s="8" t="s">
        <v>159</v>
      </c>
      <c r="DW4" s="8" t="s">
        <v>382</v>
      </c>
      <c r="DX4" s="8" t="s">
        <v>383</v>
      </c>
      <c r="DY4" s="8" t="s">
        <v>384</v>
      </c>
      <c r="DZ4" s="8" t="s">
        <v>385</v>
      </c>
      <c r="EA4" s="8" t="s">
        <v>386</v>
      </c>
      <c r="EB4" s="8" t="s">
        <v>387</v>
      </c>
      <c r="EC4" s="8" t="s">
        <v>388</v>
      </c>
      <c r="ED4" s="8" t="s">
        <v>167</v>
      </c>
      <c r="EE4" s="8" t="s">
        <v>389</v>
      </c>
      <c r="EF4" s="8" t="s">
        <v>390</v>
      </c>
      <c r="EG4" s="8" t="s">
        <v>391</v>
      </c>
      <c r="EH4" s="8" t="s">
        <v>392</v>
      </c>
      <c r="EI4" s="8" t="s">
        <v>393</v>
      </c>
      <c r="EJ4" s="8" t="s">
        <v>394</v>
      </c>
      <c r="EK4" s="8" t="s">
        <v>395</v>
      </c>
      <c r="EL4" s="8" t="s">
        <v>175</v>
      </c>
      <c r="EM4" s="8" t="s">
        <v>396</v>
      </c>
      <c r="EN4" s="8" t="s">
        <v>177</v>
      </c>
      <c r="EO4" s="8" t="s">
        <v>178</v>
      </c>
      <c r="EP4" s="12" t="s">
        <v>397</v>
      </c>
      <c r="EQ4" s="8" t="s">
        <v>350</v>
      </c>
      <c r="ER4" s="8" t="s">
        <v>398</v>
      </c>
      <c r="ES4" s="8" t="s">
        <v>399</v>
      </c>
      <c r="ET4" s="8" t="s">
        <v>400</v>
      </c>
      <c r="EU4" s="8" t="s">
        <v>401</v>
      </c>
      <c r="EV4" s="8" t="s">
        <v>402</v>
      </c>
      <c r="EW4" s="8" t="s">
        <v>403</v>
      </c>
      <c r="EX4" s="8" t="s">
        <v>404</v>
      </c>
      <c r="EY4" s="8" t="s">
        <v>405</v>
      </c>
      <c r="EZ4" s="8" t="s">
        <v>406</v>
      </c>
      <c r="FA4" s="8" t="s">
        <v>398</v>
      </c>
      <c r="FB4" s="8" t="s">
        <v>407</v>
      </c>
      <c r="FC4" s="8" t="s">
        <v>408</v>
      </c>
      <c r="FD4" s="8" t="s">
        <v>409</v>
      </c>
      <c r="FE4" s="8" t="s">
        <v>410</v>
      </c>
      <c r="FF4" s="8" t="s">
        <v>411</v>
      </c>
      <c r="FG4" s="8" t="s">
        <v>412</v>
      </c>
      <c r="FH4" s="8" t="s">
        <v>413</v>
      </c>
      <c r="FI4" s="8" t="s">
        <v>114</v>
      </c>
      <c r="FJ4" s="8" t="s">
        <v>414</v>
      </c>
      <c r="FK4" s="8" t="s">
        <v>197</v>
      </c>
      <c r="FL4" s="12" t="s">
        <v>415</v>
      </c>
      <c r="FM4" s="8" t="s">
        <v>416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417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418</v>
      </c>
      <c r="GX4" s="8" t="s">
        <v>419</v>
      </c>
      <c r="GY4" s="8" t="s">
        <v>420</v>
      </c>
      <c r="GZ4" s="8" t="s">
        <v>421</v>
      </c>
      <c r="HA4" s="8" t="s">
        <v>422</v>
      </c>
      <c r="HB4" s="8" t="s">
        <v>423</v>
      </c>
      <c r="HC4" s="8" t="s">
        <v>424</v>
      </c>
      <c r="HD4" s="8" t="s">
        <v>425</v>
      </c>
      <c r="HE4" s="8" t="s">
        <v>426</v>
      </c>
      <c r="HF4" s="8" t="s">
        <v>427</v>
      </c>
      <c r="HG4" s="8" t="s">
        <v>428</v>
      </c>
      <c r="HH4" s="8" t="s">
        <v>429</v>
      </c>
      <c r="HI4" s="8" t="s">
        <v>430</v>
      </c>
      <c r="HJ4" s="8" t="s">
        <v>431</v>
      </c>
      <c r="HK4" s="8" t="s">
        <v>432</v>
      </c>
      <c r="HL4" s="8" t="s">
        <v>433</v>
      </c>
      <c r="HM4" s="8" t="s">
        <v>434</v>
      </c>
      <c r="HN4" s="8" t="s">
        <v>435</v>
      </c>
      <c r="HO4" s="12" t="s">
        <v>436</v>
      </c>
      <c r="HP4" s="8" t="s">
        <v>437</v>
      </c>
      <c r="HQ4" s="8" t="s">
        <v>438</v>
      </c>
      <c r="HR4" s="8" t="s">
        <v>439</v>
      </c>
      <c r="HS4" s="8" t="s">
        <v>440</v>
      </c>
      <c r="HT4" s="8" t="s">
        <v>258</v>
      </c>
      <c r="HU4" s="8" t="s">
        <v>259</v>
      </c>
      <c r="HV4" s="8" t="s">
        <v>441</v>
      </c>
      <c r="HW4" s="8" t="s">
        <v>442</v>
      </c>
      <c r="HX4" s="8" t="s">
        <v>443</v>
      </c>
      <c r="HY4" s="8" t="s">
        <v>263</v>
      </c>
      <c r="HZ4" s="8" t="s">
        <v>114</v>
      </c>
      <c r="IA4" s="8" t="s">
        <v>444</v>
      </c>
      <c r="IB4" s="8" t="s">
        <v>445</v>
      </c>
      <c r="IC4" s="8" t="s">
        <v>114</v>
      </c>
      <c r="ID4" s="8" t="s">
        <v>376</v>
      </c>
      <c r="IE4" s="8" t="s">
        <v>350</v>
      </c>
      <c r="IF4" s="8" t="s">
        <v>370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446</v>
      </c>
      <c r="IT4" s="12" t="s">
        <v>280</v>
      </c>
      <c r="IU4" s="8" t="s">
        <v>114</v>
      </c>
      <c r="IV4" s="8" t="s">
        <v>376</v>
      </c>
      <c r="IW4" s="8" t="s">
        <v>350</v>
      </c>
      <c r="IX4" s="8" t="s">
        <v>370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447</v>
      </c>
      <c r="JL4" s="8" t="s">
        <v>448</v>
      </c>
      <c r="JM4" s="8" t="s">
        <v>114</v>
      </c>
      <c r="JN4" s="8" t="s">
        <v>376</v>
      </c>
      <c r="JO4" s="8" t="s">
        <v>370</v>
      </c>
      <c r="JP4" s="8" t="s">
        <v>114</v>
      </c>
      <c r="JQ4" s="8" t="s">
        <v>350</v>
      </c>
      <c r="JR4" s="8" t="s">
        <v>376</v>
      </c>
      <c r="JS4" s="8" t="s">
        <v>370</v>
      </c>
      <c r="JT4" s="8" t="s">
        <v>449</v>
      </c>
      <c r="JU4" s="8" t="s">
        <v>450</v>
      </c>
      <c r="JV4" s="8" t="s">
        <v>451</v>
      </c>
      <c r="JW4" s="8" t="s">
        <v>452</v>
      </c>
      <c r="JX4" s="8" t="s">
        <v>453</v>
      </c>
      <c r="JY4" s="8" t="s">
        <v>454</v>
      </c>
      <c r="JZ4" s="8" t="s">
        <v>455</v>
      </c>
      <c r="KA4" s="8" t="s">
        <v>456</v>
      </c>
      <c r="KB4" s="8" t="s">
        <v>457</v>
      </c>
      <c r="KC4" s="8" t="s">
        <v>458</v>
      </c>
      <c r="KD4" s="8" t="s">
        <v>459</v>
      </c>
      <c r="KE4" s="8" t="s">
        <v>306</v>
      </c>
      <c r="KF4" s="8" t="s">
        <v>307</v>
      </c>
      <c r="KG4" s="8" t="s">
        <v>460</v>
      </c>
      <c r="KH4" s="8" t="s">
        <v>461</v>
      </c>
      <c r="KI4" s="8" t="s">
        <v>462</v>
      </c>
      <c r="KJ4" s="8" t="s">
        <v>114</v>
      </c>
      <c r="KK4" s="8" t="s">
        <v>445</v>
      </c>
      <c r="KL4" s="8" t="s">
        <v>463</v>
      </c>
      <c r="KM4" s="8" t="s">
        <v>464</v>
      </c>
      <c r="KN4" s="8" t="s">
        <v>465</v>
      </c>
      <c r="KO4" s="8" t="s">
        <v>466</v>
      </c>
      <c r="KP4" s="8" t="s">
        <v>467</v>
      </c>
      <c r="KQ4" s="8" t="s">
        <v>468</v>
      </c>
      <c r="KR4" s="8" t="s">
        <v>317</v>
      </c>
      <c r="KS4" s="8" t="s">
        <v>469</v>
      </c>
      <c r="KT4" s="8" t="s">
        <v>470</v>
      </c>
      <c r="KU4" s="8" t="s">
        <v>471</v>
      </c>
      <c r="KV4" s="12" t="s">
        <v>472</v>
      </c>
      <c r="KW4" s="12" t="s">
        <v>473</v>
      </c>
      <c r="KX4" s="12" t="s">
        <v>474</v>
      </c>
      <c r="KY4" s="12" t="s">
        <v>475</v>
      </c>
    </row>
    <row r="5" ht="12.75" customHeight="1">
      <c r="A5" s="8"/>
      <c r="B5" s="8"/>
      <c r="C5" s="8"/>
      <c r="D5" s="16" t="str">
        <f>VLOOKUP($H$9,$X$7:$BZ$8,52,0)</f>
        <v>Levantamiento de Pesas</v>
      </c>
      <c r="E5" s="17"/>
      <c r="F5" s="10"/>
      <c r="G5" s="10"/>
      <c r="H5" s="10"/>
      <c r="I5" s="10"/>
      <c r="J5" s="11"/>
      <c r="K5" s="11"/>
      <c r="L5" s="8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476</v>
      </c>
      <c r="Z5" s="12" t="s">
        <v>477</v>
      </c>
      <c r="AA5" s="12" t="s">
        <v>58</v>
      </c>
      <c r="AB5" s="12" t="s">
        <v>478</v>
      </c>
      <c r="AC5" s="12" t="s">
        <v>479</v>
      </c>
      <c r="AD5" s="12" t="s">
        <v>480</v>
      </c>
      <c r="AE5" s="12" t="s">
        <v>481</v>
      </c>
      <c r="AF5" s="12" t="s">
        <v>482</v>
      </c>
      <c r="AG5" s="12" t="s">
        <v>483</v>
      </c>
      <c r="AH5" s="12" t="s">
        <v>484</v>
      </c>
      <c r="AI5" s="12" t="s">
        <v>485</v>
      </c>
      <c r="AJ5" s="12" t="s">
        <v>486</v>
      </c>
      <c r="AK5" s="12" t="s">
        <v>487</v>
      </c>
      <c r="AL5" s="12" t="s">
        <v>488</v>
      </c>
      <c r="AM5" s="12" t="s">
        <v>489</v>
      </c>
      <c r="AN5" s="12" t="s">
        <v>490</v>
      </c>
      <c r="AO5" s="12" t="s">
        <v>491</v>
      </c>
      <c r="AP5" s="12" t="s">
        <v>492</v>
      </c>
      <c r="AQ5" s="12" t="s">
        <v>493</v>
      </c>
      <c r="AR5" s="12" t="s">
        <v>494</v>
      </c>
      <c r="AS5" s="12" t="s">
        <v>495</v>
      </c>
      <c r="AT5" s="12" t="s">
        <v>496</v>
      </c>
      <c r="AU5" s="12" t="s">
        <v>497</v>
      </c>
      <c r="AV5" s="12" t="s">
        <v>498</v>
      </c>
      <c r="AW5" s="12" t="s">
        <v>499</v>
      </c>
      <c r="AY5" s="12" t="s">
        <v>500</v>
      </c>
      <c r="AZ5" s="12" t="s">
        <v>501</v>
      </c>
      <c r="BA5" s="12" t="s">
        <v>502</v>
      </c>
      <c r="BB5" s="12" t="s">
        <v>503</v>
      </c>
      <c r="BC5" s="12" t="s">
        <v>504</v>
      </c>
      <c r="BD5" s="12" t="s">
        <v>505</v>
      </c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</row>
    <row r="6" ht="12.75" customHeight="1">
      <c r="A6" s="8"/>
      <c r="B6" s="8"/>
      <c r="C6" s="8"/>
      <c r="E6" s="17"/>
      <c r="F6" s="10"/>
      <c r="G6" s="10"/>
      <c r="H6" s="10"/>
      <c r="I6" s="10"/>
      <c r="J6" s="11"/>
      <c r="K6" s="11"/>
      <c r="L6" s="8"/>
      <c r="M6" s="5"/>
      <c r="N6" s="5"/>
      <c r="O6" s="5"/>
      <c r="P6" s="5"/>
      <c r="Q6" s="5"/>
      <c r="X6" s="12" t="s">
        <v>325</v>
      </c>
      <c r="Y6" s="8" t="s">
        <v>506</v>
      </c>
      <c r="Z6" s="8" t="s">
        <v>507</v>
      </c>
      <c r="AA6" s="8" t="s">
        <v>508</v>
      </c>
      <c r="AB6" s="8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W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12" t="s">
        <v>535</v>
      </c>
      <c r="BD6" s="12" t="s">
        <v>505</v>
      </c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0"/>
      <c r="J7" s="11"/>
      <c r="K7" s="11"/>
      <c r="L7" s="8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536</v>
      </c>
      <c r="Z7" s="12" t="s">
        <v>537</v>
      </c>
      <c r="AA7" s="12" t="s">
        <v>538</v>
      </c>
      <c r="AB7" s="12" t="s">
        <v>120</v>
      </c>
      <c r="AC7" s="12" t="s">
        <v>539</v>
      </c>
      <c r="AD7" s="12" t="s">
        <v>118</v>
      </c>
      <c r="AE7" s="12" t="s">
        <v>117</v>
      </c>
      <c r="AF7" s="12" t="s">
        <v>135</v>
      </c>
      <c r="AG7" s="12" t="s">
        <v>150</v>
      </c>
      <c r="AH7" s="12" t="s">
        <v>540</v>
      </c>
      <c r="AI7" s="12" t="s">
        <v>541</v>
      </c>
      <c r="AJ7" s="12" t="s">
        <v>542</v>
      </c>
      <c r="AK7" s="12" t="s">
        <v>543</v>
      </c>
      <c r="AL7" s="12" t="s">
        <v>544</v>
      </c>
      <c r="AM7" s="12" t="s">
        <v>545</v>
      </c>
      <c r="AN7" s="12" t="s">
        <v>546</v>
      </c>
      <c r="AO7" s="12" t="s">
        <v>547</v>
      </c>
      <c r="AP7" s="12" t="s">
        <v>548</v>
      </c>
      <c r="AQ7" s="12" t="s">
        <v>179</v>
      </c>
      <c r="AR7" s="12" t="s">
        <v>549</v>
      </c>
      <c r="AS7" s="12" t="s">
        <v>550</v>
      </c>
      <c r="AT7" s="12" t="s">
        <v>197</v>
      </c>
      <c r="AU7" s="12" t="s">
        <v>551</v>
      </c>
      <c r="AV7" s="12" t="s">
        <v>552</v>
      </c>
      <c r="AW7" s="12" t="s">
        <v>119</v>
      </c>
      <c r="AX7" s="12" t="s">
        <v>198</v>
      </c>
      <c r="AY7" s="12" t="s">
        <v>553</v>
      </c>
      <c r="AZ7" s="12" t="s">
        <v>554</v>
      </c>
      <c r="BA7" s="12" t="s">
        <v>555</v>
      </c>
      <c r="BB7" s="12" t="s">
        <v>556</v>
      </c>
      <c r="BC7" s="12" t="s">
        <v>557</v>
      </c>
      <c r="BD7" s="12" t="s">
        <v>558</v>
      </c>
      <c r="BE7" s="12" t="s">
        <v>559</v>
      </c>
      <c r="BF7" s="12" t="s">
        <v>560</v>
      </c>
      <c r="BG7" s="12" t="s">
        <v>280</v>
      </c>
      <c r="BH7" s="12" t="s">
        <v>561</v>
      </c>
      <c r="BI7" s="12" t="s">
        <v>121</v>
      </c>
      <c r="BJ7" s="12" t="s">
        <v>562</v>
      </c>
      <c r="BK7" s="12" t="s">
        <v>563</v>
      </c>
      <c r="BL7" s="12" t="s">
        <v>564</v>
      </c>
      <c r="BM7" s="12" t="s">
        <v>565</v>
      </c>
      <c r="BN7" s="12" t="s">
        <v>566</v>
      </c>
      <c r="BO7" s="12" t="s">
        <v>567</v>
      </c>
      <c r="BP7" s="12" t="s">
        <v>568</v>
      </c>
      <c r="BQ7" s="12" t="s">
        <v>569</v>
      </c>
      <c r="BR7" s="12" t="s">
        <v>570</v>
      </c>
      <c r="BS7" s="12" t="s">
        <v>571</v>
      </c>
      <c r="BT7" s="12" t="s">
        <v>572</v>
      </c>
      <c r="BU7" s="12" t="s">
        <v>322</v>
      </c>
      <c r="BV7" s="12" t="s">
        <v>321</v>
      </c>
      <c r="BW7" s="12" t="s">
        <v>573</v>
      </c>
      <c r="BX7" s="12" t="s">
        <v>574</v>
      </c>
      <c r="BY7" s="12" t="s">
        <v>575</v>
      </c>
      <c r="BZ7" s="12" t="s">
        <v>576</v>
      </c>
      <c r="CA7" s="12" t="s">
        <v>577</v>
      </c>
      <c r="CB7" s="7" t="s">
        <v>578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0"/>
      <c r="J8" s="11"/>
      <c r="K8" s="11"/>
      <c r="L8" s="8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325</v>
      </c>
      <c r="Y8" s="12" t="s">
        <v>579</v>
      </c>
      <c r="Z8" s="12" t="s">
        <v>580</v>
      </c>
      <c r="AA8" s="12" t="s">
        <v>581</v>
      </c>
      <c r="AB8" s="12" t="s">
        <v>374</v>
      </c>
      <c r="AC8" s="12" t="s">
        <v>582</v>
      </c>
      <c r="AD8" s="12" t="s">
        <v>372</v>
      </c>
      <c r="AE8" s="12" t="s">
        <v>371</v>
      </c>
      <c r="AF8" s="12" t="s">
        <v>135</v>
      </c>
      <c r="AG8" s="12" t="s">
        <v>150</v>
      </c>
      <c r="AH8" s="12" t="s">
        <v>583</v>
      </c>
      <c r="AI8" s="12" t="s">
        <v>541</v>
      </c>
      <c r="AJ8" s="12" t="s">
        <v>584</v>
      </c>
      <c r="AK8" s="12" t="s">
        <v>585</v>
      </c>
      <c r="AL8" s="12" t="s">
        <v>586</v>
      </c>
      <c r="AM8" s="12" t="s">
        <v>587</v>
      </c>
      <c r="AN8" s="12" t="s">
        <v>588</v>
      </c>
      <c r="AO8" s="12" t="s">
        <v>589</v>
      </c>
      <c r="AP8" s="12" t="s">
        <v>590</v>
      </c>
      <c r="AQ8" s="12" t="s">
        <v>397</v>
      </c>
      <c r="AR8" s="12" t="s">
        <v>591</v>
      </c>
      <c r="AS8" s="12" t="s">
        <v>592</v>
      </c>
      <c r="AT8" s="12" t="s">
        <v>197</v>
      </c>
      <c r="AU8" s="12" t="s">
        <v>593</v>
      </c>
      <c r="AV8" s="12" t="s">
        <v>594</v>
      </c>
      <c r="AW8" s="12" t="s">
        <v>373</v>
      </c>
      <c r="AX8" s="12" t="s">
        <v>415</v>
      </c>
      <c r="AY8" s="12" t="s">
        <v>553</v>
      </c>
      <c r="AZ8" s="12" t="s">
        <v>554</v>
      </c>
      <c r="BA8" s="12" t="s">
        <v>595</v>
      </c>
      <c r="BB8" s="12" t="s">
        <v>596</v>
      </c>
      <c r="BC8" s="12" t="s">
        <v>353</v>
      </c>
      <c r="BD8" s="12" t="s">
        <v>597</v>
      </c>
      <c r="BE8" s="12" t="s">
        <v>598</v>
      </c>
      <c r="BF8" s="12" t="s">
        <v>599</v>
      </c>
      <c r="BG8" s="12" t="s">
        <v>280</v>
      </c>
      <c r="BH8" s="12" t="s">
        <v>600</v>
      </c>
      <c r="BI8" s="12" t="s">
        <v>375</v>
      </c>
      <c r="BJ8" s="12" t="s">
        <v>601</v>
      </c>
      <c r="BK8" s="12" t="s">
        <v>563</v>
      </c>
      <c r="BL8" s="12" t="s">
        <v>564</v>
      </c>
      <c r="BM8" s="12" t="s">
        <v>602</v>
      </c>
      <c r="BN8" s="12" t="s">
        <v>603</v>
      </c>
      <c r="BO8" s="12" t="s">
        <v>604</v>
      </c>
      <c r="BP8" s="12" t="s">
        <v>605</v>
      </c>
      <c r="BQ8" s="12" t="s">
        <v>606</v>
      </c>
      <c r="BR8" s="12" t="s">
        <v>570</v>
      </c>
      <c r="BS8" s="12" t="s">
        <v>607</v>
      </c>
      <c r="BT8" s="12" t="s">
        <v>608</v>
      </c>
      <c r="BU8" s="12" t="s">
        <v>473</v>
      </c>
      <c r="BV8" s="12" t="s">
        <v>472</v>
      </c>
      <c r="BW8" s="12" t="s">
        <v>609</v>
      </c>
      <c r="BX8" s="12" t="s">
        <v>352</v>
      </c>
      <c r="BY8" s="12" t="s">
        <v>610</v>
      </c>
      <c r="BZ8" s="12" t="s">
        <v>611</v>
      </c>
      <c r="CA8" s="12" t="s">
        <v>612</v>
      </c>
      <c r="CB8" s="7" t="s">
        <v>613</v>
      </c>
    </row>
    <row r="9" ht="17.25" customHeight="1">
      <c r="A9" s="8"/>
      <c r="B9" s="19" t="str">
        <f>VLOOKUP($H$9,$X$7:$CB$8,57,0)</f>
        <v>Datos del Atleta</v>
      </c>
      <c r="C9" s="20"/>
      <c r="D9" s="20"/>
      <c r="E9" s="10"/>
      <c r="F9" s="21"/>
      <c r="G9" s="22"/>
      <c r="H9" s="23" t="s">
        <v>59</v>
      </c>
      <c r="I9" s="8"/>
      <c r="J9" s="8"/>
      <c r="R9" s="5"/>
      <c r="S9" s="5"/>
      <c r="T9" s="8"/>
      <c r="U9" s="8"/>
      <c r="V9" s="8"/>
      <c r="W9" s="8"/>
      <c r="X9" s="12"/>
    </row>
    <row r="10" ht="45.0" customHeight="1">
      <c r="A10" s="8"/>
      <c r="B10" s="24" t="s">
        <v>614</v>
      </c>
      <c r="C10" s="25" t="str">
        <f>VLOOKUP($H$9,$X$5:$AF$6,2,0)</f>
        <v>Apellido</v>
      </c>
      <c r="D10" s="25" t="str">
        <f>VLOOKUP($H$9,$X$5:$AF$6,3,0)</f>
        <v>Nombre</v>
      </c>
      <c r="E10" s="25" t="str">
        <f>VLOOKUP($H$9,$X$5:$AF$6,4,0)</f>
        <v>Genero</v>
      </c>
      <c r="F10" s="25" t="str">
        <f>VLOOKUP($H$9,$X$5:$AF$6,5,0)</f>
        <v>Evento Deportivo</v>
      </c>
      <c r="G10" s="26" t="str">
        <f>VLOOKUP($H$9,$X$5:KY$6,6,0)</f>
        <v>Peso</v>
      </c>
      <c r="H10" s="26" t="str">
        <f>VLOOKUP($H$9,$X$5:$BD$6,33,0)</f>
        <v>Total</v>
      </c>
      <c r="I10" s="5"/>
      <c r="K10" s="5"/>
      <c r="L10" s="5"/>
      <c r="M10" s="5"/>
      <c r="N10" s="5"/>
      <c r="O10" s="5"/>
      <c r="P10" s="5"/>
      <c r="Q10" s="5"/>
      <c r="R10" s="5"/>
      <c r="S10" s="5"/>
      <c r="T10" s="8"/>
      <c r="U10" s="8"/>
      <c r="V10" s="8"/>
      <c r="W10" s="8"/>
      <c r="X10" s="12"/>
    </row>
    <row r="11" ht="13.5" customHeight="1">
      <c r="A11" s="27"/>
      <c r="B11" s="28">
        <v>1.0</v>
      </c>
      <c r="C11" s="29"/>
      <c r="D11" s="29"/>
      <c r="E11" s="30"/>
      <c r="F11" s="31"/>
      <c r="G11" s="31"/>
      <c r="H11" s="3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27"/>
      <c r="U11" s="27"/>
      <c r="V11" s="27"/>
      <c r="W11" s="27"/>
      <c r="X11" s="12"/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12" t="s">
        <v>668</v>
      </c>
      <c r="CA11" s="7" t="s">
        <v>669</v>
      </c>
    </row>
    <row r="12" ht="13.5" customHeight="1">
      <c r="A12" s="8"/>
      <c r="B12" s="32">
        <v>2.0</v>
      </c>
      <c r="C12" s="33"/>
      <c r="D12" s="33"/>
      <c r="E12" s="34"/>
      <c r="F12" s="34"/>
      <c r="G12" s="34"/>
      <c r="H12" s="3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8"/>
      <c r="U12" s="8"/>
      <c r="V12" s="8"/>
      <c r="W12" s="8"/>
      <c r="X12" s="12"/>
      <c r="Y12" s="8" t="str">
        <f>VLOOKUP($H$9,$X$3:$KW$4,257,0)</f>
        <v>Recurvo Individual</v>
      </c>
      <c r="Z12" s="8" t="str">
        <f>VLOOKUP($H$9,$X$3:$KW$4,200,0)</f>
        <v>Libre</v>
      </c>
      <c r="AA12" s="8" t="str">
        <f>VLOOKUP($H$9,$X$3:$KW$4,30,0)</f>
        <v>100m</v>
      </c>
      <c r="AB12" s="8" t="str">
        <f>VLOOKUP($H$9,$X$3:$KW$4,62,0)</f>
        <v>Béisbol</v>
      </c>
      <c r="AC12" s="8" t="str">
        <f>VLOOKUP($H$9,$X$3:$KW$4,56,0)</f>
        <v>Individual</v>
      </c>
      <c r="AD12" s="8" t="str">
        <f>VLOOKUP($H$9,$X$3:$KW$4,60,0)</f>
        <v>Básquetbol 3x3</v>
      </c>
      <c r="AE12" s="8" t="str">
        <f>VLOOKUP($H$9,$X$3:$KW$4,59,0)</f>
        <v>Básquetbol</v>
      </c>
      <c r="AF12" s="8" t="str">
        <f>VLOOKUP($H$9,$X$3:$KW$4,79,0)</f>
        <v>Breaking</v>
      </c>
      <c r="AG12" s="8" t="str">
        <f>VLOOKUP($H$9,$X$3:$KW$4,93,0)</f>
        <v>BMX Freestyle</v>
      </c>
      <c r="AH12" s="8" t="str">
        <f>VLOOKUP($H$9,$X$3:$KW$4,257,0)</f>
        <v>Recurvo Individual</v>
      </c>
      <c r="AI12" s="8" t="str">
        <f>VLOOKUP($H$9,$X$3:$KW$4,64,0)</f>
        <v>Individual</v>
      </c>
      <c r="AJ12" s="8" t="str">
        <f>VLOOKUP($H$9,$X$3:$KW$4,110,0)</f>
        <v>Velocidad</v>
      </c>
      <c r="AK12" s="8" t="str">
        <f>VLOOKUP($H$9,$X$3:$KW$4,96,0)</f>
        <v>Contrareloj</v>
      </c>
      <c r="AL12" s="8" t="str">
        <f>VLOOKUP($H$9,$X$3:$KW$4,90,0)</f>
        <v>K1</v>
      </c>
      <c r="AM12" s="8" t="str">
        <f>VLOOKUP($H$9,$X$3:$KW$4,80,0)</f>
        <v>MK1 1,000m</v>
      </c>
      <c r="AN12" s="8" t="str">
        <f>VLOOKUP($H$9,$X$3:$KW$4,98,0)</f>
        <v>Velocidad Individual</v>
      </c>
      <c r="AO12" s="8" t="str">
        <f>VLOOKUP($H$9,$X$3:$KW$4,2,0)</f>
        <v>Individual 1m Trampolín</v>
      </c>
      <c r="AP12" s="8" t="str">
        <f>VLOOKUP($H$9,$X$3:$KW$4,104,0)</f>
        <v>Adiestramiento Individual</v>
      </c>
      <c r="AQ12" s="8" t="str">
        <f>VLOOKUP($H$9,$X$3:$KW$4,123,0)</f>
        <v>Fútbol</v>
      </c>
      <c r="AR12" s="8" t="str">
        <f>VLOOKUP($H$9,$X$3:$KW$4,112,0)</f>
        <v>Espada Individual</v>
      </c>
      <c r="AS12" s="8" t="str">
        <f>VLOOKUP($H$9,$X$3:$KW$4,124,0)</f>
        <v>Equipos</v>
      </c>
      <c r="AT12" s="8" t="str">
        <f>VLOOKUP($H$9,$X$3:$KW$4,144,0)</f>
        <v>Golf</v>
      </c>
      <c r="AU12" s="8" t="str">
        <f>VLOOKUP($H$9,$X$3:$KW$4,134,0)</f>
        <v>General Individual</v>
      </c>
      <c r="AV12" s="8" t="str">
        <f>VLOOKUP($H$9,$X$3:$KW$4,142,0)</f>
        <v>Individual</v>
      </c>
      <c r="AW12" s="8" t="str">
        <f>VLOOKUP($H$9,$X$3:$KW$4,61,0)</f>
        <v>Balonmano</v>
      </c>
      <c r="AX12" s="8" t="str">
        <f>VLOOKUP($H$9,$X$3:$KW$4,145,0)</f>
        <v>Hockey Césped</v>
      </c>
      <c r="AY12" s="8" t="str">
        <f>VLOOKUP($H$9,$X$3:$KW$4,146,0)</f>
        <v>M -60 Kg</v>
      </c>
      <c r="AZ12" s="8" t="str">
        <f>VLOOKUP($H$9,$X$3:$KW$4,161,0)</f>
        <v>Kumite M -60 Kg</v>
      </c>
      <c r="BA12" s="8" t="str">
        <f>VLOOKUP($H$9,$X$3:$KW$4,211,0)</f>
        <v>Individual</v>
      </c>
      <c r="BB12" s="8" t="str">
        <f>VLOOKUP($H$9,$X$3:$KW$4,95,0)</f>
        <v>Cross-Country</v>
      </c>
      <c r="BC12" s="8" t="str">
        <f>VLOOKUP($H$9,$X$3:$KW$4,29,0)</f>
        <v>Aguas Abiertas</v>
      </c>
      <c r="BD12" s="8" t="str">
        <f>VLOOKUP($H$9,$X$3:$KW$4,207,0)</f>
        <v>Pelota goma – Dobles Trinquete</v>
      </c>
      <c r="BE12" s="8" t="str">
        <f>VLOOKUP($H$9,$X$3:$KW$4,218,0)</f>
        <v>M1x</v>
      </c>
      <c r="BF12" s="8" t="str">
        <f>VLOOKUP($H$9,$X$3:$KW$4,214,0)</f>
        <v>Individual</v>
      </c>
      <c r="BG12" s="8" t="str">
        <f>VLOOKUP($H$9,$X$3:$KW$4,231,0)</f>
        <v>Rugby 7</v>
      </c>
      <c r="BH12" s="8" t="str">
        <f>VLOOKUP($H$9,$X$3:$KW$4,275,0)</f>
        <v>Tabla A Vela (Iqfoil)</v>
      </c>
      <c r="BI12" s="8" t="str">
        <f>VLOOKUP($H$9,$X$3:$KW$4,63,0)</f>
        <v>Sóftbol</v>
      </c>
      <c r="BJ12" s="8" t="str">
        <f>VLOOKUP($H$9,$X$3:$KW$4,263,0)</f>
        <v>Rifle 50m 3 Posiciones</v>
      </c>
      <c r="BK12" s="8" t="str">
        <f>VLOOKUP($H$9,$X$3:$KW$4,205,0)</f>
        <v>Street</v>
      </c>
      <c r="BL12" s="8" t="str">
        <f>VLOOKUP($H$9,$X$3:$KW$4,232,0)</f>
        <v>Individual</v>
      </c>
      <c r="BM12" s="8" t="str">
        <f>VLOOKUP($H$9,$X$3:$KW$4,236,0)</f>
        <v>Shortboard</v>
      </c>
      <c r="BN12" s="8" t="str">
        <f>VLOOKUP($H$9,$X$3:$KW$4,201,0)</f>
        <v>200m Meta Contra Meta</v>
      </c>
      <c r="BO12" s="8" t="str">
        <f>VLOOKUP($H$9,$X$3:$KW$4,27,0)</f>
        <v>Duetos</v>
      </c>
      <c r="BP12" s="8" t="str">
        <f>VLOOKUP($H$9,$X$3:$KW$4,7,0)</f>
        <v>50m libre</v>
      </c>
      <c r="BQ12" s="8" t="str">
        <f>VLOOKUP($H$9,$X$3:$KW$4,250,0)</f>
        <v>Individual</v>
      </c>
      <c r="BR12" s="8" t="str">
        <f>VLOOKUP($H$9,$X$3:$KW$4,240,0)</f>
        <v>M Kyorugi -58 Kg</v>
      </c>
      <c r="BS12" s="8" t="str">
        <f>VLOOKUP($H$9,$X$3:$KW$4,273,0)</f>
        <v>Individual</v>
      </c>
      <c r="BT12" s="8" t="str">
        <f>VLOOKUP($H$9,$X$3:$KW$4,253,0)</f>
        <v>Individual</v>
      </c>
      <c r="BU12" s="8" t="str">
        <f>VLOOKUP($H$9,$X$3:$KW$4,286,0)</f>
        <v>Vóleibol Playa</v>
      </c>
      <c r="BV12" s="8" t="str">
        <f>VLOOKUP($H$9,$X$3:$KW$4,285,0)</f>
        <v>Vóleibol</v>
      </c>
      <c r="BW12" s="8" t="str">
        <f>VLOOKUP($H$9,$X$3:$KW$4,172,0)</f>
        <v>M 61 Kg</v>
      </c>
      <c r="BX12" s="8" t="str">
        <f>VLOOKUP($H$9,$X$3:$KW$4,28,0)</f>
        <v>Polo Acuático</v>
      </c>
      <c r="BY12" s="8" t="str">
        <f>VLOOKUP($H$9,$X$3:$KW$4,182,0)</f>
        <v>Grecoromana 60 Kg</v>
      </c>
      <c r="BZ12" s="8" t="str">
        <f>VLOOKUP($H$9,$X$3:$KW$4,118,0)</f>
        <v>Figuras</v>
      </c>
      <c r="CA12" s="8" t="str">
        <f>VLOOKUP($H$9,$X$3:$KY$4,287,0)</f>
        <v>Masculino</v>
      </c>
    </row>
    <row r="13" ht="13.5" customHeight="1">
      <c r="A13" s="8"/>
      <c r="B13" s="28">
        <v>3.0</v>
      </c>
      <c r="C13" s="35"/>
      <c r="D13" s="35"/>
      <c r="E13" s="36"/>
      <c r="F13" s="36"/>
      <c r="G13" s="36"/>
      <c r="H13" s="3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8"/>
      <c r="U13" s="8"/>
      <c r="V13" s="8"/>
      <c r="W13" s="8"/>
      <c r="X13" s="12"/>
      <c r="Y13" s="8" t="str">
        <f>VLOOKUP($H$9,$X$3:$KW$4,258,0)</f>
        <v>Individual Compuesto</v>
      </c>
      <c r="AA13" s="8" t="str">
        <f>VLOOKUP($H$9,$X$3:$KW$4,31,0)</f>
        <v>200m</v>
      </c>
      <c r="AC13" s="8" t="str">
        <f>VLOOKUP($H$9,$X$3:$KW$4,57,0)</f>
        <v>Dobles</v>
      </c>
      <c r="AI13" s="8" t="str">
        <f>VLOOKUP($H$9,$X$3:$KW$4,65,0)</f>
        <v>Dobles</v>
      </c>
      <c r="AJ13" s="8" t="str">
        <f>VLOOKUP($H$9,$X$3:$KW$4,111,0)</f>
        <v>Boulder &amp; Lead</v>
      </c>
      <c r="AK13" s="8" t="str">
        <f>VLOOKUP($H$9,$X$3:$KW$4,97,0)</f>
        <v>Gran Fondo</v>
      </c>
      <c r="AL13" s="8" t="str">
        <f>VLOOKUP($H$9,$X$3:$KW$4,91,0)</f>
        <v>C1</v>
      </c>
      <c r="AM13" s="8" t="str">
        <f>VLOOKUP($H$9,$X$3:$KW$4,81,0)</f>
        <v>MK2 500m</v>
      </c>
      <c r="AN13" s="8" t="str">
        <f>VLOOKUP($H$9,$X$3:$KW$4,99,0)</f>
        <v>Keirin</v>
      </c>
      <c r="AO13" s="8" t="str">
        <f>VLOOKUP($H$9,$X$3:$KW$4,3,0)</f>
        <v>Individual 3m Trampolín</v>
      </c>
      <c r="AP13" s="8" t="str">
        <f>VLOOKUP($H$9,$X$3:$KW$4,105,0)</f>
        <v>Adiestramiento Equipos</v>
      </c>
      <c r="AR13" s="8" t="str">
        <f>VLOOKUP($H$9,$X$3:$KW$4,113,0)</f>
        <v>Florete Individual</v>
      </c>
      <c r="AS13" s="8" t="str">
        <f>VLOOKUP($H$9,$X$3:$KW$4,125,0)</f>
        <v>Individual General</v>
      </c>
      <c r="AU13" s="8" t="str">
        <f>VLOOKUP($H$9,$X$3:$KW$4,135,0)</f>
        <v>Aro</v>
      </c>
      <c r="AV13" s="8" t="str">
        <f>VLOOKUP($H$9,$X$3:$KW$4,143,0)</f>
        <v>Sincronizados</v>
      </c>
      <c r="AY13" s="8" t="str">
        <f>VLOOKUP($H$9,$X$3:$KW$4,147,0)</f>
        <v>M -66 Kg</v>
      </c>
      <c r="AZ13" s="8" t="str">
        <f>VLOOKUP($H$9,$X$3:$KW$4,162,0)</f>
        <v>Kumite M -67 Kg</v>
      </c>
      <c r="BA13" s="8" t="str">
        <f>VLOOKUP($H$9,$X$3:$KW$4,212,0)</f>
        <v>Relevos</v>
      </c>
      <c r="BD13" s="8" t="str">
        <f>VLOOKUP($H$9,$X$3:$KW$4,208,0)</f>
        <v>Pelota goma – Individual (Frontón)</v>
      </c>
      <c r="BE13" s="8" t="str">
        <f>VLOOKUP($H$9,$X$3:$KW$4,219,0)</f>
        <v>M2x</v>
      </c>
      <c r="BF13" s="8" t="str">
        <f>VLOOKUP($H$9,$X$3:$KW$4,215,0)</f>
        <v>Dobles</v>
      </c>
      <c r="BH13" s="8" t="str">
        <f>VLOOKUP($H$9,$X$3:$KW$4,276,0)</f>
        <v>Bote (Ilca 7)</v>
      </c>
      <c r="BJ13" s="8" t="str">
        <f>VLOOKUP($H$9,$X$3:$KW$4,264,0)</f>
        <v>10m Rifle De Aire</v>
      </c>
      <c r="BK13" s="8" t="str">
        <f>VLOOKUP($H$9,$X$3:$KW$4,206,0)</f>
        <v>Park</v>
      </c>
      <c r="BL13" s="8" t="str">
        <f>VLOOKUP($H$9,$X$3:$KW$4,233,0)</f>
        <v>Equipos</v>
      </c>
      <c r="BM13" s="8" t="str">
        <f>VLOOKUP($H$9,$X$3:$KW$4,237,0)</f>
        <v>Sup Surf</v>
      </c>
      <c r="BN13" s="8" t="str">
        <f>VLOOKUP($H$9,$X$3:$KW$4,202,0)</f>
        <v>500m + Distancia</v>
      </c>
      <c r="BO13" s="8" t="str">
        <f>VLOOKUP($H$9,$X$3:$KW$4,26,0)</f>
        <v>Equipos</v>
      </c>
      <c r="BP13" s="8" t="str">
        <f>VLOOKUP($H$9,$X$3:$KW$4,8,0)</f>
        <v>100m libre</v>
      </c>
      <c r="BQ13" s="8" t="str">
        <f>VLOOKUP($H$9,$X$3:$KW$4,251,0)</f>
        <v>Dobles</v>
      </c>
      <c r="BR13" s="8" t="str">
        <f>VLOOKUP($H$9,$X$3:$KW$4,241,0)</f>
        <v>M Kyorugi -68 Kg</v>
      </c>
      <c r="BS13" s="8" t="str">
        <f>VLOOKUP($H$9,$X$3:$KW$4,274,0)</f>
        <v>Relevos Mixtos</v>
      </c>
      <c r="BT13" s="8" t="str">
        <f>VLOOKUP($H$9,$X$3:$KW$4,254,0)</f>
        <v>Equipos</v>
      </c>
      <c r="BW13" s="8" t="str">
        <f>VLOOKUP($H$9,$X$3:$KW$4,173,0)</f>
        <v>M 73 Kg</v>
      </c>
      <c r="BY13" s="8" t="str">
        <f>VLOOKUP($H$9,$X$3:$KW$4,183,0)</f>
        <v>Grecoromana 67 Kg</v>
      </c>
      <c r="BZ13" s="8" t="str">
        <f>VLOOKUP($H$9,$X$3:$KW$4,119,0)</f>
        <v>Slalom</v>
      </c>
      <c r="CA13" s="8" t="str">
        <f>VLOOKUP($H$9,$X$3:$KY$4,288,0)</f>
        <v>Femenino</v>
      </c>
    </row>
    <row r="14" ht="13.5" customHeight="1">
      <c r="A14" s="8"/>
      <c r="B14" s="32">
        <v>4.0</v>
      </c>
      <c r="C14" s="33"/>
      <c r="D14" s="33"/>
      <c r="E14" s="34"/>
      <c r="F14" s="34"/>
      <c r="G14" s="34"/>
      <c r="H14" s="3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8"/>
      <c r="U14" s="8"/>
      <c r="V14" s="8"/>
      <c r="W14" s="8"/>
      <c r="X14" s="12"/>
      <c r="Y14" s="8" t="str">
        <f>VLOOKUP($H$9,$X$3:$KW$4,259,0)</f>
        <v>Equipo Recurvo</v>
      </c>
      <c r="AA14" s="8" t="str">
        <f>VLOOKUP($H$9,$X$3:$KW$4,32,0)</f>
        <v>400m</v>
      </c>
      <c r="AC14" s="8" t="str">
        <f>VLOOKUP($H$9,$X$3:$KW$4,58,0)</f>
        <v>Dobles Mixto</v>
      </c>
      <c r="AI14" s="8"/>
      <c r="AL14" s="8" t="str">
        <f>VLOOKUP($H$9,$X$3:$KW$4,92,0)</f>
        <v>K1 Extreme</v>
      </c>
      <c r="AM14" s="8" t="str">
        <f>VLOOKUP($H$9,$X$3:$KW$4,82,0)</f>
        <v>MK4 500m</v>
      </c>
      <c r="AN14" s="8" t="str">
        <f>VLOOKUP($H$9,$X$3:$KW$4,100,0)</f>
        <v>Omnium</v>
      </c>
      <c r="AO14" s="8" t="str">
        <f>VLOOKUP($H$9,$X$3:$KW$4,4,0)</f>
        <v>Individual 10m Plataforma</v>
      </c>
      <c r="AP14" s="8" t="str">
        <f>VLOOKUP($H$9,$X$3:$KW$4,106,0)</f>
        <v>Evento Completo Individual</v>
      </c>
      <c r="AR14" s="8" t="str">
        <f>VLOOKUP($H$9,$X$3:$KW$4,114,0)</f>
        <v>Sable Individual</v>
      </c>
      <c r="AS14" s="8" t="str">
        <f>VLOOKUP($H$9,$X$3:$KW$4,126,0)</f>
        <v>Suelo</v>
      </c>
      <c r="AU14" s="8" t="str">
        <f>VLOOKUP($H$9,$X$3:$KW$4,136,0)</f>
        <v>Pelota</v>
      </c>
      <c r="AY14" s="8" t="str">
        <f>VLOOKUP($H$9,$X$3:$KW$4,148,0)</f>
        <v>M -73 Kg</v>
      </c>
      <c r="AZ14" s="8" t="str">
        <f>VLOOKUP($H$9,$X$3:$KW$4,163,0)</f>
        <v>Kumite M -75 Kg</v>
      </c>
      <c r="BA14" s="8" t="str">
        <f>VLOOKUP($H$9,$X$3:$KW$4,213,0)</f>
        <v>Relevos Mixtos</v>
      </c>
      <c r="BD14" s="8" t="str">
        <f>VLOOKUP($H$9,$X$3:$KW$4,209,0)</f>
        <v>Frontenis -Dobles (Frontón)</v>
      </c>
      <c r="BE14" s="8" t="str">
        <f>VLOOKUP($H$9,$X$3:$KW$4,220,0)</f>
        <v>M4x</v>
      </c>
      <c r="BF14" s="8" t="str">
        <f>VLOOKUP($H$9,$X$3:$KW$4,216,0)</f>
        <v>Equipos</v>
      </c>
      <c r="BH14" s="8" t="str">
        <f>VLOOKUP($H$9,$X$3:$KW$4,277,0)</f>
        <v>Bote (Ilca 6)</v>
      </c>
      <c r="BJ14" s="8" t="str">
        <f>VLOOKUP($H$9,$X$3:$KW$4,265,0)</f>
        <v>10m Pistola De Aire</v>
      </c>
      <c r="BL14" s="8" t="str">
        <f>VLOOKUP($H$9,$X$3:$KW$4,234,0)</f>
        <v>Dobles</v>
      </c>
      <c r="BM14" s="8" t="str">
        <f>VLOOKUP($H$9,$X$3:$KW$4,238,0)</f>
        <v>Sup Race</v>
      </c>
      <c r="BN14" s="8" t="str">
        <f>VLOOKUP($H$9,$X$3:$KW$4,203,0)</f>
        <v>10000m Eliminación</v>
      </c>
      <c r="BP14" s="8" t="str">
        <f>VLOOKUP($H$9,$X$3:$KW$4,9,0)</f>
        <v>200m libre</v>
      </c>
      <c r="BQ14" s="8" t="str">
        <f>VLOOKUP($H$9,$X$3:$KW$4,252,0)</f>
        <v>Dobles Mixtos</v>
      </c>
      <c r="BR14" s="8" t="str">
        <f>VLOOKUP($H$9,$X$3:$KW$4,242,0)</f>
        <v>M Kyorugi -80 Kg</v>
      </c>
      <c r="BT14" s="8" t="str">
        <f>VLOOKUP($H$9,$X$3:$KW$4,255,0)</f>
        <v>Dobles</v>
      </c>
      <c r="BW14" s="8" t="str">
        <f>VLOOKUP($H$9,$X$3:$KW$4,174,0)</f>
        <v>M 89 Kg</v>
      </c>
      <c r="BY14" s="8" t="str">
        <f>VLOOKUP($H$9,$X$3:$KW$4,184,0)</f>
        <v>Grecoromana 77 Kg</v>
      </c>
      <c r="BZ14" s="8" t="str">
        <f>VLOOKUP($H$9,$X$3:$KW$4,120,0)</f>
        <v>Salto</v>
      </c>
    </row>
    <row r="15" ht="13.5" customHeight="1">
      <c r="A15" s="8"/>
      <c r="B15" s="28">
        <v>5.0</v>
      </c>
      <c r="C15" s="35"/>
      <c r="D15" s="35"/>
      <c r="E15" s="36"/>
      <c r="F15" s="36"/>
      <c r="G15" s="36"/>
      <c r="H15" s="3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8"/>
      <c r="U15" s="8"/>
      <c r="V15" s="8"/>
      <c r="W15" s="8"/>
      <c r="X15" s="12"/>
      <c r="Y15" s="8" t="str">
        <f>VLOOKUP($H$9,$X$3:$KW$4,260,0)</f>
        <v>Equipo Compuesto</v>
      </c>
      <c r="AA15" s="8" t="str">
        <f>VLOOKUP($H$9,$X$3:$KW$4,33,0)</f>
        <v>800m</v>
      </c>
      <c r="AC15" s="8"/>
      <c r="AL15" s="8"/>
      <c r="AM15" s="8" t="str">
        <f>VLOOKUP($H$9,$X$3:$KW$4,83,0)</f>
        <v>MC1 1,000m</v>
      </c>
      <c r="AN15" s="8" t="str">
        <f>VLOOKUP($H$9,$X$3:$KW$4,101,0)</f>
        <v>Velocidad Equipos</v>
      </c>
      <c r="AO15" s="8" t="str">
        <f>VLOOKUP($H$9,$X$3:$KW$4,5,0)</f>
        <v>Sincronizados 3m Trampolín</v>
      </c>
      <c r="AP15" s="8" t="str">
        <f>VLOOKUP($H$9,$X$3:$KW$4,107,0)</f>
        <v>Evento Completo Equipos</v>
      </c>
      <c r="AR15" s="8" t="str">
        <f>VLOOKUP($H$9,$X$3:$KW$4,115,0)</f>
        <v>Espada Equipos</v>
      </c>
      <c r="AS15" s="8" t="str">
        <f>VLOOKUP($H$9,$X$3:$KW$4,127,0)</f>
        <v>Caballo Con Arzones</v>
      </c>
      <c r="AU15" s="8" t="str">
        <f>VLOOKUP($H$9,$X$3:$KW$4,137,0)</f>
        <v>Mazas</v>
      </c>
      <c r="AY15" s="8" t="str">
        <f>VLOOKUP($H$9,$X$3:$KW$4,149,0)</f>
        <v>M -81 Kg</v>
      </c>
      <c r="AZ15" s="8" t="str">
        <f>VLOOKUP($H$9,$X$3:$KW$4,164,0)</f>
        <v>Kumite M -84 Kg</v>
      </c>
      <c r="BD15" s="8" t="str">
        <f>VLOOKUP($H$9,$X$3:$KW$4,210,0)</f>
        <v>Frontball</v>
      </c>
      <c r="BE15" s="8" t="str">
        <f>VLOOKUP($H$9,$X$3:$KW$4,221,0)</f>
        <v>M2-</v>
      </c>
      <c r="BF15" s="8" t="str">
        <f>VLOOKUP($H$9,$X$3:$KW$4,217,0)</f>
        <v>Dobles Mixtos</v>
      </c>
      <c r="BH15" s="8" t="str">
        <f>VLOOKUP($H$9,$X$3:$KW$4,278,0)</f>
        <v>Bote (Sunfish)</v>
      </c>
      <c r="BJ15" s="8" t="str">
        <f>VLOOKUP($H$9,$X$3:$KW$4,266,0)</f>
        <v>25m Pistola De Fuego Rapido</v>
      </c>
      <c r="BL15" s="8" t="str">
        <f>VLOOKUP($H$9,$X$3:$KW$4,235,0)</f>
        <v>Dobles Mixtos</v>
      </c>
      <c r="BM15" s="8" t="str">
        <f>VLOOKUP($H$9,$X$3:$KW$4,239,0)</f>
        <v>Longboard</v>
      </c>
      <c r="BN15" s="8" t="str">
        <f>VLOOKUP($H$9,$X$3:$KW$4,204,0)</f>
        <v>1000m Sprint</v>
      </c>
      <c r="BP15" s="8" t="str">
        <f>VLOOKUP($H$9,$X$3:$KW$4,10,0)</f>
        <v>400m libre</v>
      </c>
      <c r="BR15" s="8" t="str">
        <f>VLOOKUP($H$9,$X$3:$KW$4,243,0)</f>
        <v>M Kyorugi +80 Kg</v>
      </c>
      <c r="BT15" s="8" t="str">
        <f>VLOOKUP($H$9,$X$3:$KW$4,256,0)</f>
        <v>Dobles Mixtos</v>
      </c>
      <c r="BW15" s="8" t="str">
        <f>VLOOKUP($H$9,$X$3:$KW$4,175,0)</f>
        <v>M 102 Kg</v>
      </c>
      <c r="BY15" s="8" t="str">
        <f>VLOOKUP($H$9,$X$3:$KW$4,185,0)</f>
        <v>Grecoromana 87 Kg</v>
      </c>
      <c r="BZ15" s="8" t="str">
        <f>VLOOKUP($H$9,$X$3:$KW$4,121,0)</f>
        <v>Overall</v>
      </c>
    </row>
    <row r="16" ht="13.5" customHeight="1">
      <c r="A16" s="8"/>
      <c r="B16" s="32">
        <v>6.0</v>
      </c>
      <c r="C16" s="33"/>
      <c r="D16" s="33"/>
      <c r="E16" s="34"/>
      <c r="F16" s="34"/>
      <c r="G16" s="34"/>
      <c r="H16" s="3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8"/>
      <c r="U16" s="8"/>
      <c r="V16" s="8"/>
      <c r="W16" s="8"/>
      <c r="X16" s="12"/>
      <c r="Y16" s="8" t="str">
        <f>VLOOKUP($H$9,$X$3:$KW$4,261,0)</f>
        <v>Equipo Recurvo Mixto</v>
      </c>
      <c r="AA16" s="8" t="str">
        <f>VLOOKUP($H$9,$X$3:$KW$4,34,0)</f>
        <v>1500m</v>
      </c>
      <c r="AL16" s="8"/>
      <c r="AM16" s="8" t="str">
        <f>VLOOKUP($H$9,$X$3:$KW$4,84,0)</f>
        <v>MC2 500m</v>
      </c>
      <c r="AN16" s="8" t="str">
        <f>VLOOKUP($H$9,$X$3:$KW$4,102,0)</f>
        <v>Persecución Equipos</v>
      </c>
      <c r="AO16" s="8" t="str">
        <f>VLOOKUP($H$9,$X$3:$KW$4,6,0)</f>
        <v>Sincronizados 10m Plataforma</v>
      </c>
      <c r="AP16" s="8" t="str">
        <f>VLOOKUP($H$9,$X$3:$KW$4,108,0)</f>
        <v>Salto Individual</v>
      </c>
      <c r="AR16" s="8" t="str">
        <f>VLOOKUP($H$9,$X$3:$KW$4,116,0)</f>
        <v>Florete Equipos</v>
      </c>
      <c r="AS16" s="8" t="str">
        <f>VLOOKUP($H$9,$X$3:$KW$4,128,0)</f>
        <v>Anillas</v>
      </c>
      <c r="AU16" s="8" t="str">
        <f>VLOOKUP($H$9,$X$3:$KW$4,138,0)</f>
        <v>Cinta</v>
      </c>
      <c r="AY16" s="8" t="str">
        <f>VLOOKUP($H$9,$X$3:$KW$4,150,0)</f>
        <v>M -90 Kg</v>
      </c>
      <c r="AZ16" s="8" t="str">
        <f>VLOOKUP($H$9,$X$3:$KW$4,165,0)</f>
        <v>Kumite M +84 Kg</v>
      </c>
      <c r="BE16" s="8" t="str">
        <f>VLOOKUP($H$9,$X$3:$KW$4,222,0)</f>
        <v>M4-</v>
      </c>
      <c r="BF16" s="8"/>
      <c r="BH16" s="8" t="str">
        <f>VLOOKUP($H$9,$X$3:$KW$4,279,0)</f>
        <v>Skiff (49Er)</v>
      </c>
      <c r="BJ16" s="8" t="str">
        <f>VLOOKUP($H$9,$X$3:$KW$4,267,0)</f>
        <v>25m Pistola Deportiva</v>
      </c>
      <c r="BM16" s="8"/>
      <c r="BP16" s="8" t="str">
        <f>VLOOKUP($H$9,$X$3:$KW$4,11,0)</f>
        <v>800m libre</v>
      </c>
      <c r="BR16" s="8" t="str">
        <f>VLOOKUP($H$9,$X$3:$KW$4,244,0)</f>
        <v>F Kyorugi -49 Kg</v>
      </c>
      <c r="BW16" s="8" t="str">
        <f>VLOOKUP($H$9,$X$3:$KW$4,176,0)</f>
        <v>M +102 Kg</v>
      </c>
      <c r="BY16" s="8" t="str">
        <f>VLOOKUP($H$9,$X$3:$KW$4,186,0)</f>
        <v>Grecoromana 97 Kg</v>
      </c>
      <c r="BZ16" s="8" t="str">
        <f>VLOOKUP($H$9,$X$3:$KW$4,122,0)</f>
        <v>Wakeboard</v>
      </c>
    </row>
    <row r="17" ht="13.5" customHeight="1">
      <c r="A17" s="8"/>
      <c r="B17" s="28">
        <v>7.0</v>
      </c>
      <c r="C17" s="35"/>
      <c r="D17" s="35"/>
      <c r="E17" s="36"/>
      <c r="F17" s="36"/>
      <c r="G17" s="36"/>
      <c r="H17" s="3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8"/>
      <c r="U17" s="8"/>
      <c r="V17" s="8"/>
      <c r="W17" s="8"/>
      <c r="X17" s="12"/>
      <c r="Y17" s="8" t="str">
        <f>VLOOKUP($H$9,$X$3:$KW$4,262,0)</f>
        <v>Equipo Compuesto Mixto</v>
      </c>
      <c r="AA17" s="8" t="str">
        <f>VLOOKUP($H$9,$X$3:$KW$4,3,0)</f>
        <v>Individual 3m Trampolín</v>
      </c>
      <c r="AM17" s="8" t="str">
        <f>VLOOKUP($H$9,$X$3:$KW$4,85,0)</f>
        <v>WK1 500m</v>
      </c>
      <c r="AN17" s="8" t="str">
        <f>VLOOKUP($H$9,$X$3:$KW$4,103,0)</f>
        <v>Madison</v>
      </c>
      <c r="AP17" s="8" t="str">
        <f>VLOOKUP($H$9,$X$3:$KW$4,109,0)</f>
        <v>Salto Equipos</v>
      </c>
      <c r="AR17" s="8" t="str">
        <f>VLOOKUP($H$9,$X$3:$KW$4,117,0)</f>
        <v>Sable Equipos</v>
      </c>
      <c r="AS17" s="8" t="str">
        <f>VLOOKUP($H$9,$X$3:$KW$4,129,0)</f>
        <v>Salto</v>
      </c>
      <c r="AU17" s="8" t="str">
        <f>VLOOKUP($H$9,$X$3:$KW$4,139,0)</f>
        <v>General De Conjuntos</v>
      </c>
      <c r="AY17" s="8" t="str">
        <f>VLOOKUP($H$9,$X$3:$KW$4,151,0)</f>
        <v>M -100 Kg</v>
      </c>
      <c r="AZ17" s="8" t="str">
        <f>VLOOKUP($H$9,$X$3:$KW$4,166,0)</f>
        <v>Kumite F -50 Kg</v>
      </c>
      <c r="BE17" s="8" t="str">
        <f>VLOOKUP($H$9,$X$3:$KW$4,223,0)</f>
        <v>LM2x</v>
      </c>
      <c r="BH17" s="8" t="str">
        <f>VLOOKUP($H$9,$X$3:$KW$4,280,0)</f>
        <v>Skiff (49Er Fx)</v>
      </c>
      <c r="BJ17" s="8" t="str">
        <f>VLOOKUP($H$9,$X$3:$KW$4,268,0)</f>
        <v>Skeet</v>
      </c>
      <c r="BP17" s="8" t="str">
        <f>VLOOKUP($H$9,$X$3:$KW$4,12,0)</f>
        <v>1.500m libre</v>
      </c>
      <c r="BR17" s="8" t="str">
        <f>VLOOKUP($H$9,$X$3:$KW$4,245,0)</f>
        <v>F Kyorugi -57 Kg</v>
      </c>
      <c r="BW17" s="8" t="str">
        <f>VLOOKUP($H$9,$X$3:$KW$4,177,0)</f>
        <v>F 49 Kg</v>
      </c>
      <c r="BY17" s="8" t="str">
        <f>VLOOKUP($H$9,$X$3:$KW$4,187,0)</f>
        <v>Grecoromana 130 Kg</v>
      </c>
    </row>
    <row r="18" ht="13.5" customHeight="1">
      <c r="A18" s="8"/>
      <c r="B18" s="32">
        <v>8.0</v>
      </c>
      <c r="C18" s="33"/>
      <c r="D18" s="33"/>
      <c r="E18" s="34"/>
      <c r="F18" s="34"/>
      <c r="G18" s="34"/>
      <c r="H18" s="3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"/>
      <c r="U18" s="8"/>
      <c r="V18" s="8"/>
      <c r="W18" s="8"/>
      <c r="X18" s="12"/>
      <c r="Y18" s="8"/>
      <c r="AA18" s="8" t="str">
        <f>VLOOKUP($H$9,$X$3:$KW$4,35,0)</f>
        <v>5000m</v>
      </c>
      <c r="AM18" s="8" t="str">
        <f>VLOOKUP($H$9,$X$3:$KW$4,86,0)</f>
        <v>WK2 500m</v>
      </c>
      <c r="AS18" s="8" t="str">
        <f>VLOOKUP($H$9,$X$3:$KW$4,130,0)</f>
        <v>Barras Paralelas</v>
      </c>
      <c r="AU18" s="8" t="str">
        <f>VLOOKUP($H$9,$X$3:$KW$4,140,0)</f>
        <v>5 Aros</v>
      </c>
      <c r="AY18" s="8" t="str">
        <f>VLOOKUP($H$9,$X$3:$KW$4,152,0)</f>
        <v>M +100 Kg</v>
      </c>
      <c r="AZ18" s="8" t="str">
        <f>VLOOKUP($H$9,$X$3:$KW$4,167,0)</f>
        <v>Kumite F -55 Kg</v>
      </c>
      <c r="BE18" s="8" t="str">
        <f>VLOOKUP($H$9,$X$3:$KW$4,224,0)</f>
        <v>W1x</v>
      </c>
      <c r="BH18" s="8" t="str">
        <f>VLOOKUP($H$9,$X$3:$KW$4,281,0)</f>
        <v>Kite (Fomula Kite)</v>
      </c>
      <c r="BJ18" s="8" t="str">
        <f>VLOOKUP($H$9,$X$3:$KW$4,269,0)</f>
        <v>Trap</v>
      </c>
      <c r="BP18" s="8" t="str">
        <f>VLOOKUP($H$9,$X$3:$KW$4,13,0)</f>
        <v>100m espalda</v>
      </c>
      <c r="BR18" s="8" t="str">
        <f>VLOOKUP($H$9,$X$3:$KW$4,246,0)</f>
        <v>F Kyorugi -67 Kg</v>
      </c>
      <c r="BW18" s="8" t="str">
        <f>VLOOKUP($H$9,$X$3:$KW$4,178,0)</f>
        <v>F 59 Kg</v>
      </c>
      <c r="BY18" s="8" t="str">
        <f>VLOOKUP($H$9,$X$3:$KW$4,188,0)</f>
        <v>Libre M 57 Kg</v>
      </c>
    </row>
    <row r="19" ht="13.5" customHeight="1">
      <c r="A19" s="8"/>
      <c r="B19" s="28">
        <v>9.0</v>
      </c>
      <c r="C19" s="35"/>
      <c r="D19" s="35"/>
      <c r="E19" s="36"/>
      <c r="F19" s="36"/>
      <c r="G19" s="36"/>
      <c r="H19" s="3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8"/>
      <c r="U19" s="8"/>
      <c r="V19" s="8"/>
      <c r="W19" s="8"/>
      <c r="X19" s="12"/>
      <c r="Y19" s="8"/>
      <c r="AA19" s="8" t="str">
        <f>VLOOKUP($H$9,$X$3:$KW$4,36,0)</f>
        <v>10000m</v>
      </c>
      <c r="AM19" s="8" t="str">
        <f>VLOOKUP($H$9,$X$3:$KW$4,87,0)</f>
        <v>WK4 500M</v>
      </c>
      <c r="AS19" s="8" t="str">
        <f>VLOOKUP($H$9,$X$3:$KW$4,131,0)</f>
        <v>Barra Fija</v>
      </c>
      <c r="AU19" s="8" t="str">
        <f>VLOOKUP($H$9,$X$3:$KW$4,141,0)</f>
        <v>3 Cintas/2 Pelotas</v>
      </c>
      <c r="AY19" s="8" t="str">
        <f>VLOOKUP($H$9,$X$3:$KW$4,153,0)</f>
        <v>F -48 Kg</v>
      </c>
      <c r="AZ19" s="8" t="str">
        <f>VLOOKUP($H$9,$X$3:$KW$4,168,0)</f>
        <v>Kumite F -61 Kg</v>
      </c>
      <c r="BE19" s="8" t="str">
        <f>VLOOKUP($H$9,$X$3:$KW$4,225,0)</f>
        <v>W2x</v>
      </c>
      <c r="BH19" s="8" t="str">
        <f>VLOOKUP($H$9,$X$3:$KW$4,282,0)</f>
        <v>Mixto Catamarán (Nacra 17)</v>
      </c>
      <c r="BJ19" s="8" t="str">
        <f>VLOOKUP($H$9,$X$3:$KW$4,270,0)</f>
        <v>Mixto 10m Rifle De Aire</v>
      </c>
      <c r="BP19" s="8" t="str">
        <f>VLOOKUP($H$9,$X$3:$KW$4,14,0)</f>
        <v>200m espalda</v>
      </c>
      <c r="BR19" s="8" t="str">
        <f>VLOOKUP($H$9,$X$3:$KW$4,247,0)</f>
        <v>F Kyorugi +67 Kg</v>
      </c>
      <c r="BW19" s="8" t="str">
        <f>VLOOKUP($H$9,$X$3:$KW$4,179,0)</f>
        <v>F 71 Kg</v>
      </c>
      <c r="BY19" s="8" t="str">
        <f>VLOOKUP($H$9,$X$3:$KW$4,189,0)</f>
        <v>Libre M 65 Kg</v>
      </c>
    </row>
    <row r="20" ht="13.5" customHeight="1">
      <c r="A20" s="8"/>
      <c r="B20" s="32">
        <v>10.0</v>
      </c>
      <c r="C20" s="33"/>
      <c r="D20" s="33"/>
      <c r="E20" s="34"/>
      <c r="F20" s="34"/>
      <c r="G20" s="34"/>
      <c r="H20" s="3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8"/>
      <c r="U20" s="8"/>
      <c r="V20" s="8"/>
      <c r="W20" s="8"/>
      <c r="X20" s="12"/>
      <c r="Y20" s="8"/>
      <c r="AA20" s="8" t="str">
        <f>VLOOKUP($H$9,$X$3:$KW$4,37,0)</f>
        <v>110 / 100 vallas</v>
      </c>
      <c r="AM20" s="8" t="str">
        <f>VLOOKUP($H$9,$X$3:$KW$4,88,0)</f>
        <v>WC1 200m</v>
      </c>
      <c r="AS20" s="8" t="str">
        <f>VLOOKUP($H$9,$X$3:$KW$4,132,0)</f>
        <v>Barras Asimétricas</v>
      </c>
      <c r="AY20" s="8" t="str">
        <f>VLOOKUP($H$9,$X$3:$KW$4,154,0)</f>
        <v>F -52 Kg</v>
      </c>
      <c r="AZ20" s="8" t="str">
        <f>VLOOKUP($H$9,$X$3:$KW$4,169,0)</f>
        <v>Kumite F -68 Kg </v>
      </c>
      <c r="BE20" s="8" t="str">
        <f>VLOOKUP($H$9,$X$3:$KW$4,226,0)</f>
        <v>W4x</v>
      </c>
      <c r="BH20" s="8" t="str">
        <f>VLOOKUP($H$9,$X$3:$KW$4,283,0)</f>
        <v>Mixto Bote (Snipe)</v>
      </c>
      <c r="BJ20" s="8" t="str">
        <f>VLOOKUP($H$9,$X$3:$KW$4,271,0)</f>
        <v>Mixto 10m Pistola De Aire</v>
      </c>
      <c r="BP20" s="8" t="str">
        <f>VLOOKUP($H$9,$X$3:$KW$4,15,0)</f>
        <v>100m pecho</v>
      </c>
      <c r="BR20" s="8" t="str">
        <f>VLOOKUP($H$9,$X$3:$KW$4,248,0)</f>
        <v>Poomsae Tradicional Individual</v>
      </c>
      <c r="BW20" s="8" t="str">
        <f>VLOOKUP($H$9,$X$3:$KW$4,180,0)</f>
        <v>F 81 Kg</v>
      </c>
      <c r="BY20" s="8" t="str">
        <f>VLOOKUP($H$9,$X$3:$KW$4,190,0)</f>
        <v>Libre M 74 Kg</v>
      </c>
    </row>
    <row r="21" ht="17.25" customHeight="1">
      <c r="A21" s="21"/>
      <c r="B21" s="28">
        <v>11.0</v>
      </c>
      <c r="C21" s="29"/>
      <c r="D21" s="29"/>
      <c r="E21" s="31"/>
      <c r="F21" s="31"/>
      <c r="G21" s="31"/>
      <c r="H21" s="3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21"/>
      <c r="U21" s="21"/>
      <c r="V21" s="21"/>
      <c r="W21" s="21"/>
      <c r="X21" s="12"/>
      <c r="Y21" s="8"/>
      <c r="AA21" s="8" t="str">
        <f>VLOOKUP($H$9,$X$3:$KW$4,38,0)</f>
        <v>400 Vallas</v>
      </c>
      <c r="AM21" s="8" t="str">
        <f>VLOOKUP($H$9,$X$3:$KW$4,89,0)</f>
        <v>WC2 500m</v>
      </c>
      <c r="AS21" s="8" t="str">
        <f>VLOOKUP($H$9,$X$3:$KW$4,133,0)</f>
        <v>Viga De Equilibrio</v>
      </c>
      <c r="AY21" s="8" t="str">
        <f>VLOOKUP($H$9,$X$3:$KW$4,155,0)</f>
        <v>F -57 Kg</v>
      </c>
      <c r="AZ21" s="8" t="str">
        <f>VLOOKUP($H$9,$X$3:$KW$4,170,0)</f>
        <v>Kumite F +68 Kg</v>
      </c>
      <c r="BE21" s="8" t="str">
        <f>VLOOKUP($H$9,$X$3:$KW$4,227,0)</f>
        <v>W2-</v>
      </c>
      <c r="BH21" s="8" t="str">
        <f>VLOOKUP($H$9,$X$3:$KW$4,284,0)</f>
        <v>Mixto Bote (Lightning)</v>
      </c>
      <c r="BJ21" s="8" t="str">
        <f>VLOOKUP($H$9,$X$3:$KW$4,272,0)</f>
        <v>Mixto Skeet</v>
      </c>
      <c r="BP21" s="8" t="str">
        <f>VLOOKUP($H$9,$X$3:$KW$4,16,0)</f>
        <v>200m pecho</v>
      </c>
      <c r="BR21" s="8" t="str">
        <f>VLOOKUP($H$9,$X$3:$KW$4,249,0)</f>
        <v>Poomsae Parejas Libres</v>
      </c>
      <c r="BW21" s="8" t="str">
        <f>VLOOKUP($H$9,$X$3:$KW$4,181,0)</f>
        <v>F +81 Kg</v>
      </c>
      <c r="BY21" s="8" t="str">
        <f>VLOOKUP($H$9,$X$3:$KW$4,191,0)</f>
        <v>Libre M 86 Kg</v>
      </c>
    </row>
    <row r="22" ht="16.5" customHeight="1">
      <c r="A22" s="21"/>
      <c r="B22" s="32">
        <v>12.0</v>
      </c>
      <c r="C22" s="33"/>
      <c r="D22" s="33"/>
      <c r="E22" s="34"/>
      <c r="F22" s="34"/>
      <c r="G22" s="34"/>
      <c r="H22" s="3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21"/>
      <c r="U22" s="21"/>
      <c r="V22" s="21"/>
      <c r="W22" s="21"/>
      <c r="X22" s="12"/>
      <c r="Y22" s="8"/>
      <c r="AA22" s="8" t="str">
        <f>VLOOKUP($H$9,$X$3:$KW$4,39,0)</f>
        <v>3000 con obstáculos</v>
      </c>
      <c r="AY22" s="8" t="str">
        <f>VLOOKUP($H$9,$X$3:$KW$4,156,0)</f>
        <v>F -63 Kg</v>
      </c>
      <c r="AZ22" s="8" t="str">
        <f>VLOOKUP($H$9,$X$3:$KW$4,171,0)</f>
        <v>Kata</v>
      </c>
      <c r="BE22" s="8" t="str">
        <f>VLOOKUP($H$9,$X$3:$KW$4,228,0)</f>
        <v>W4-</v>
      </c>
      <c r="BH22" s="8"/>
      <c r="BP22" s="8" t="str">
        <f>VLOOKUP($H$9,$X$3:$KW$4,17,0)</f>
        <v>100m mariposa</v>
      </c>
      <c r="BY22" s="8" t="str">
        <f>VLOOKUP($H$9,$X$3:$KW$4,192,0)</f>
        <v>Libre M 97 Kg</v>
      </c>
    </row>
    <row r="23" ht="16.5" customHeight="1">
      <c r="A23" s="21"/>
      <c r="B23" s="28">
        <v>13.0</v>
      </c>
      <c r="C23" s="35"/>
      <c r="D23" s="35"/>
      <c r="E23" s="36"/>
      <c r="F23" s="36"/>
      <c r="G23" s="36"/>
      <c r="H23" s="3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21"/>
      <c r="U23" s="21"/>
      <c r="V23" s="21"/>
      <c r="W23" s="21"/>
      <c r="X23" s="12"/>
      <c r="Y23" s="8"/>
      <c r="AA23" s="8" t="str">
        <f>VLOOKUP($H$9,$X$3:$KW$4,40,0)</f>
        <v>4x100m</v>
      </c>
      <c r="AY23" s="8" t="str">
        <f>VLOOKUP($H$9,$X$3:$KW$4,157,0)</f>
        <v>F -70 Kg</v>
      </c>
      <c r="BE23" s="8" t="str">
        <f>VLOOKUP($H$9,$X$3:$KW$4,229,0)</f>
        <v>LW2x</v>
      </c>
      <c r="BH23" s="8"/>
      <c r="BP23" s="8" t="str">
        <f t="shared" ref="BP23:BP24" si="1">VLOOKUP($H$9,$X$3:$KW$4,18,0)</f>
        <v>200m mariposa</v>
      </c>
      <c r="BY23" s="8" t="str">
        <f>VLOOKUP($H$9,$X$3:$KW$4,193,0)</f>
        <v>Libre M 125 Kg</v>
      </c>
    </row>
    <row r="24" ht="16.5" customHeight="1">
      <c r="A24" s="21"/>
      <c r="B24" s="32">
        <v>14.0</v>
      </c>
      <c r="C24" s="33"/>
      <c r="D24" s="33"/>
      <c r="E24" s="34"/>
      <c r="F24" s="34"/>
      <c r="G24" s="34"/>
      <c r="H24" s="3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21"/>
      <c r="U24" s="21"/>
      <c r="V24" s="21"/>
      <c r="W24" s="21"/>
      <c r="X24" s="12"/>
      <c r="Y24" s="21"/>
      <c r="AA24" s="8" t="str">
        <f>VLOOKUP($H$9,$X$3:$KW$4,41,0)</f>
        <v>4x400m</v>
      </c>
      <c r="AY24" s="8" t="str">
        <f>VLOOKUP($H$9,$X$3:$KW$4,158,0)</f>
        <v>F -78 Kg</v>
      </c>
      <c r="BE24" s="8" t="str">
        <f>VLOOKUP($H$9,$X$3:$KW$4,230,0)</f>
        <v>Mixto 8+</v>
      </c>
      <c r="BP24" s="8" t="str">
        <f t="shared" si="1"/>
        <v>200m mariposa</v>
      </c>
      <c r="BY24" s="8" t="str">
        <f>VLOOKUP($H$9,$X$3:$KW$4,194,0)</f>
        <v>Libre F 50 Kg</v>
      </c>
    </row>
    <row r="25" ht="13.5" customHeight="1">
      <c r="A25" s="1"/>
      <c r="B25" s="28">
        <v>15.0</v>
      </c>
      <c r="C25" s="35"/>
      <c r="D25" s="35"/>
      <c r="E25" s="36"/>
      <c r="F25" s="36"/>
      <c r="G25" s="36"/>
      <c r="H25" s="36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2"/>
      <c r="Y25" s="21"/>
      <c r="AA25" s="8" t="str">
        <f>VLOOKUP($H$9,$X$3:$KW$4,42,0)</f>
        <v>Salto de Altura</v>
      </c>
      <c r="AY25" s="8" t="str">
        <f>VLOOKUP($H$9,$X$3:$KW$4,159,0)</f>
        <v>F +78 Kg</v>
      </c>
      <c r="BP25" s="8" t="str">
        <f>VLOOKUP($H$9,$X$3:$KW$4,19,0)</f>
        <v>200m combinado individual</v>
      </c>
      <c r="BY25" s="8" t="str">
        <f>VLOOKUP($H$9,$X$3:$KW$4,195,0)</f>
        <v>Libre F 53 Kg</v>
      </c>
    </row>
    <row r="26" ht="13.5" customHeight="1">
      <c r="A26" s="1"/>
      <c r="B26" s="32">
        <v>16.0</v>
      </c>
      <c r="C26" s="33"/>
      <c r="D26" s="33"/>
      <c r="E26" s="34"/>
      <c r="F26" s="34"/>
      <c r="G26" s="34"/>
      <c r="H26" s="3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"/>
      <c r="U26" s="1"/>
      <c r="V26" s="1"/>
      <c r="W26" s="1"/>
      <c r="X26" s="12"/>
      <c r="Y26" s="21"/>
      <c r="AA26" s="8" t="str">
        <f>VLOOKUP($H$9,$X$3:$KW$4,43,0)</f>
        <v>Salto de Longitud</v>
      </c>
      <c r="AY26" s="8" t="str">
        <f>VLOOKUP($H$9,$X$3:$KW$4,160,0)</f>
        <v>Equipo  mixto</v>
      </c>
      <c r="BP26" s="8" t="str">
        <f>VLOOKUP($H$9,$X$3:$KW$4,20,0)</f>
        <v>400m combinado individual</v>
      </c>
      <c r="BY26" s="8" t="str">
        <f>VLOOKUP($H$9,$X$3:$KW$4,196,0)</f>
        <v>Libre F 57 Kg</v>
      </c>
    </row>
    <row r="27" ht="13.5" customHeight="1">
      <c r="A27" s="1"/>
      <c r="B27" s="28">
        <v>17.0</v>
      </c>
      <c r="C27" s="29"/>
      <c r="D27" s="29"/>
      <c r="E27" s="31"/>
      <c r="F27" s="31"/>
      <c r="G27" s="31"/>
      <c r="H27" s="3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"/>
      <c r="U27" s="1"/>
      <c r="V27" s="1"/>
      <c r="W27" s="1"/>
      <c r="X27" s="12"/>
      <c r="Y27" s="21"/>
      <c r="AA27" s="8" t="str">
        <f>VLOOKUP($H$9,$X$3:$KW$4,44,0)</f>
        <v>Salto Triple</v>
      </c>
      <c r="BP27" s="8" t="str">
        <f>VLOOKUP($H$9,$X$3:$KW$4,21,0)</f>
        <v>4 x 100m posta libre</v>
      </c>
      <c r="BY27" s="8" t="str">
        <f>VLOOKUP($H$9,$X$3:$KW$4,197,0)</f>
        <v>Libre F 62 Kg</v>
      </c>
    </row>
    <row r="28" ht="13.5" customHeight="1">
      <c r="A28" s="1"/>
      <c r="B28" s="32">
        <v>18.0</v>
      </c>
      <c r="C28" s="33"/>
      <c r="D28" s="33"/>
      <c r="E28" s="34"/>
      <c r="F28" s="34"/>
      <c r="G28" s="34"/>
      <c r="H28" s="3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"/>
      <c r="U28" s="1"/>
      <c r="V28" s="1"/>
      <c r="W28" s="1"/>
      <c r="X28" s="12"/>
      <c r="Y28" s="21"/>
      <c r="AA28" s="8" t="str">
        <f>VLOOKUP($H$9,$X$3:$KW$4,45,0)</f>
        <v>Salto con Pérdiga</v>
      </c>
      <c r="BP28" s="8" t="str">
        <f>VLOOKUP($H$9,$X$3:$KW$4,22,0)</f>
        <v>4 x 200m posta libre</v>
      </c>
      <c r="BY28" s="8" t="str">
        <f>VLOOKUP($H$9,$X$3:$KW$4,198,0)</f>
        <v>Libre F 68 Kg</v>
      </c>
    </row>
    <row r="29" ht="13.5" customHeight="1">
      <c r="A29" s="1"/>
      <c r="B29" s="28">
        <v>19.0</v>
      </c>
      <c r="C29" s="35"/>
      <c r="D29" s="35"/>
      <c r="E29" s="36"/>
      <c r="F29" s="36"/>
      <c r="G29" s="36"/>
      <c r="H29" s="3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2"/>
      <c r="Y29" s="21"/>
      <c r="AA29" s="8" t="str">
        <f>VLOOKUP($H$9,$X$3:$KW$4,46,0)</f>
        <v>Lanzamiento de Bala</v>
      </c>
      <c r="BP29" s="8" t="str">
        <f>VLOOKUP($H$9,$X$3:$KW$4,23,0)</f>
        <v>4 x 100m posta combinada</v>
      </c>
      <c r="BY29" s="8" t="str">
        <f>VLOOKUP($H$9,$X$3:$KW$4,199,0)</f>
        <v>Libre F 76 Kg</v>
      </c>
    </row>
    <row r="30" ht="13.5" customHeight="1">
      <c r="A30" s="1"/>
      <c r="B30" s="32">
        <v>20.0</v>
      </c>
      <c r="C30" s="33"/>
      <c r="D30" s="33"/>
      <c r="E30" s="34"/>
      <c r="F30" s="34"/>
      <c r="G30" s="34"/>
      <c r="H30" s="3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2"/>
      <c r="Y30" s="21"/>
      <c r="AA30" s="8" t="str">
        <f>VLOOKUP($H$9,$X$3:$KW$4,47,0)</f>
        <v>Lanzamiento de Disco</v>
      </c>
      <c r="BP30" s="8" t="str">
        <f>VLOOKUP($H$9,$X$3:$KW$4,24,0)</f>
        <v>Mixto 4 x 100m posta libre</v>
      </c>
    </row>
    <row r="31" ht="13.5" customHeight="1">
      <c r="A31" s="1"/>
      <c r="B31" s="28">
        <v>21.0</v>
      </c>
      <c r="C31" s="35"/>
      <c r="D31" s="35"/>
      <c r="E31" s="36"/>
      <c r="F31" s="36"/>
      <c r="G31" s="36"/>
      <c r="H31" s="3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2"/>
      <c r="Y31" s="21"/>
      <c r="AA31" s="8" t="str">
        <f>VLOOKUP($H$9,$X$3:$KW$4,48,0)</f>
        <v>Lanzamiento de Jabalina</v>
      </c>
      <c r="BP31" s="8" t="str">
        <f>VLOOKUP($H$9,$X$3:$KW$4,25,0)</f>
        <v>Mixto 4 x 100m posta combinada</v>
      </c>
    </row>
    <row r="32" ht="13.5" customHeight="1">
      <c r="A32" s="1"/>
      <c r="B32" s="32">
        <v>22.0</v>
      </c>
      <c r="C32" s="33"/>
      <c r="D32" s="33"/>
      <c r="E32" s="34"/>
      <c r="F32" s="34"/>
      <c r="G32" s="34"/>
      <c r="H32" s="3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2"/>
      <c r="Y32" s="21"/>
      <c r="AA32" s="8" t="str">
        <f>VLOOKUP($H$9,$X$3:$KW$4,49,0)</f>
        <v>Lanzamiento de Martillo</v>
      </c>
    </row>
    <row r="33" ht="13.5" customHeight="1">
      <c r="A33" s="1"/>
      <c r="B33" s="28">
        <v>23.0</v>
      </c>
      <c r="C33" s="29"/>
      <c r="D33" s="29"/>
      <c r="E33" s="31"/>
      <c r="F33" s="31"/>
      <c r="G33" s="31"/>
      <c r="H33" s="3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2"/>
      <c r="Y33" s="21"/>
      <c r="AA33" s="8" t="str">
        <f>VLOOKUP($H$9,$X$3:$KW$4,50,0)</f>
        <v>20 km marcha</v>
      </c>
    </row>
    <row r="34" ht="13.5" customHeight="1">
      <c r="A34" s="1"/>
      <c r="B34" s="32">
        <v>24.0</v>
      </c>
      <c r="C34" s="33"/>
      <c r="D34" s="33"/>
      <c r="E34" s="34"/>
      <c r="F34" s="34"/>
      <c r="G34" s="34"/>
      <c r="H34" s="3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2"/>
      <c r="Y34" s="21"/>
      <c r="AA34" s="8" t="str">
        <f>VLOOKUP($H$9,$X$3:$KW$4,51,0)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3"/>
      <c r="J35" s="4"/>
      <c r="K35" s="4"/>
      <c r="L35" s="1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21"/>
      <c r="AA35" s="8" t="str">
        <f>VLOOKUP($H$9,$X$3:$KW$4,52,0)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3"/>
      <c r="J36" s="4"/>
      <c r="K36" s="4"/>
      <c r="L36" s="1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21"/>
      <c r="AA36" s="8" t="str">
        <f>VLOOKUP($H$9,$X$3:$KW$4,53,0)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3"/>
      <c r="J37" s="4"/>
      <c r="K37" s="4"/>
      <c r="L37" s="1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21"/>
      <c r="AA37" s="8" t="str">
        <f>VLOOKUP($H$9,$X$3:$KW$4,54,0)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3"/>
      <c r="J38" s="4"/>
      <c r="K38" s="4"/>
      <c r="L38" s="1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21"/>
      <c r="AA38" s="8" t="str">
        <f>VLOOKUP($H$9,$X$3:$KW$4,55,0)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3"/>
      <c r="J39" s="4"/>
      <c r="K39" s="4"/>
      <c r="L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3"/>
      <c r="J40" s="4"/>
      <c r="K40" s="4"/>
      <c r="L40" s="1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12"/>
      <c r="Y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3"/>
      <c r="J41" s="4"/>
      <c r="K41" s="4"/>
      <c r="L41" s="1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2"/>
      <c r="Y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3"/>
      <c r="J42" s="4"/>
      <c r="K42" s="4"/>
      <c r="L42" s="1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2"/>
      <c r="Y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3"/>
      <c r="J43" s="4"/>
      <c r="K43" s="4"/>
      <c r="L43" s="1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2"/>
      <c r="Y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3"/>
      <c r="J44" s="4"/>
      <c r="K44" s="4"/>
      <c r="L44" s="1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2"/>
      <c r="Y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3"/>
      <c r="J45" s="4"/>
      <c r="K45" s="4"/>
      <c r="L45" s="1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2"/>
      <c r="Y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3"/>
      <c r="J46" s="4"/>
      <c r="K46" s="4"/>
      <c r="L46" s="1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2"/>
      <c r="Y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3"/>
      <c r="J47" s="4"/>
      <c r="K47" s="4"/>
      <c r="L47" s="1"/>
      <c r="M47" s="5"/>
      <c r="N47" s="5"/>
      <c r="O47" s="5"/>
      <c r="P47" s="5"/>
      <c r="Q47" s="5"/>
      <c r="R47" s="5"/>
      <c r="S47" s="5"/>
      <c r="T47" s="1"/>
      <c r="U47" s="1"/>
      <c r="V47" s="1"/>
      <c r="W47" s="1"/>
      <c r="X47" s="12"/>
      <c r="Y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3"/>
      <c r="J48" s="4"/>
      <c r="K48" s="4"/>
      <c r="L48" s="1"/>
      <c r="M48" s="5"/>
      <c r="N48" s="5"/>
      <c r="O48" s="5"/>
      <c r="P48" s="5"/>
      <c r="Q48" s="5"/>
      <c r="R48" s="5"/>
      <c r="S48" s="5"/>
      <c r="T48" s="1"/>
      <c r="U48" s="1"/>
      <c r="V48" s="1"/>
      <c r="W48" s="1"/>
      <c r="X48" s="12"/>
      <c r="Y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3"/>
      <c r="J49" s="4"/>
      <c r="K49" s="4"/>
      <c r="L49" s="1"/>
      <c r="M49" s="5"/>
      <c r="N49" s="5"/>
      <c r="O49" s="5"/>
      <c r="P49" s="5"/>
      <c r="Q49" s="5"/>
      <c r="R49" s="5"/>
      <c r="S49" s="5"/>
      <c r="T49" s="1"/>
      <c r="U49" s="1"/>
      <c r="V49" s="1"/>
      <c r="W49" s="1"/>
      <c r="X49" s="12"/>
      <c r="Y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3"/>
      <c r="J50" s="4"/>
      <c r="K50" s="4"/>
      <c r="L50" s="1"/>
      <c r="M50" s="5"/>
      <c r="N50" s="5"/>
      <c r="O50" s="5"/>
      <c r="P50" s="5"/>
      <c r="Q50" s="5"/>
      <c r="R50" s="5"/>
      <c r="S50" s="5"/>
      <c r="T50" s="1"/>
      <c r="U50" s="1"/>
      <c r="V50" s="1"/>
      <c r="W50" s="1"/>
      <c r="X50" s="12"/>
      <c r="Y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3"/>
      <c r="J51" s="4"/>
      <c r="K51" s="4"/>
      <c r="L51" s="1"/>
      <c r="M51" s="5"/>
      <c r="N51" s="5"/>
      <c r="O51" s="5"/>
      <c r="P51" s="5"/>
      <c r="Q51" s="5"/>
      <c r="R51" s="5"/>
      <c r="S51" s="5"/>
      <c r="T51" s="1"/>
      <c r="U51" s="1"/>
      <c r="V51" s="1"/>
      <c r="W51" s="1"/>
      <c r="X51" s="12"/>
      <c r="Y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3"/>
      <c r="J52" s="4"/>
      <c r="K52" s="4"/>
      <c r="L52" s="1"/>
      <c r="M52" s="5"/>
      <c r="N52" s="5"/>
      <c r="O52" s="5"/>
      <c r="P52" s="5"/>
      <c r="Q52" s="5"/>
      <c r="R52" s="5"/>
      <c r="S52" s="5"/>
      <c r="T52" s="1"/>
      <c r="U52" s="1"/>
      <c r="V52" s="1"/>
      <c r="W52" s="1"/>
      <c r="X52" s="12"/>
      <c r="Y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3"/>
      <c r="J53" s="4"/>
      <c r="K53" s="4"/>
      <c r="L53" s="1"/>
      <c r="M53" s="5"/>
      <c r="N53" s="5"/>
      <c r="O53" s="5"/>
      <c r="P53" s="5"/>
      <c r="Q53" s="5"/>
      <c r="R53" s="5"/>
      <c r="S53" s="5"/>
      <c r="T53" s="1"/>
      <c r="U53" s="1"/>
      <c r="V53" s="1"/>
      <c r="W53" s="1"/>
      <c r="X53" s="12"/>
      <c r="Y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3"/>
      <c r="J54" s="4"/>
      <c r="K54" s="4"/>
      <c r="L54" s="1"/>
      <c r="M54" s="5"/>
      <c r="N54" s="5"/>
      <c r="O54" s="5"/>
      <c r="P54" s="5"/>
      <c r="Q54" s="5"/>
      <c r="R54" s="5"/>
      <c r="S54" s="5"/>
      <c r="T54" s="1"/>
      <c r="U54" s="1"/>
      <c r="V54" s="1"/>
      <c r="W54" s="1"/>
      <c r="X54" s="12"/>
      <c r="Y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3"/>
      <c r="J55" s="4"/>
      <c r="K55" s="4"/>
      <c r="L55" s="1"/>
      <c r="M55" s="5"/>
      <c r="N55" s="5"/>
      <c r="O55" s="5"/>
      <c r="P55" s="5"/>
      <c r="Q55" s="5"/>
      <c r="R55" s="5"/>
      <c r="S55" s="5"/>
      <c r="T55" s="1"/>
      <c r="U55" s="1"/>
      <c r="V55" s="1"/>
      <c r="W55" s="1"/>
      <c r="X55" s="12"/>
      <c r="Y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3"/>
      <c r="J56" s="4"/>
      <c r="K56" s="4"/>
      <c r="L56" s="1"/>
      <c r="M56" s="5"/>
      <c r="N56" s="5"/>
      <c r="O56" s="5"/>
      <c r="P56" s="5"/>
      <c r="Q56" s="5"/>
      <c r="R56" s="5"/>
      <c r="S56" s="5"/>
      <c r="T56" s="1"/>
      <c r="U56" s="1"/>
      <c r="V56" s="1"/>
      <c r="W56" s="1"/>
      <c r="X56" s="12"/>
      <c r="Y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3"/>
      <c r="J57" s="4"/>
      <c r="K57" s="4"/>
      <c r="L57" s="1"/>
      <c r="M57" s="5"/>
      <c r="N57" s="5"/>
      <c r="O57" s="5"/>
      <c r="P57" s="5"/>
      <c r="Q57" s="5"/>
      <c r="R57" s="5"/>
      <c r="S57" s="5"/>
      <c r="T57" s="1"/>
      <c r="U57" s="1"/>
      <c r="V57" s="1"/>
      <c r="W57" s="1"/>
      <c r="X57" s="12"/>
      <c r="Y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3"/>
      <c r="J58" s="4"/>
      <c r="K58" s="4"/>
      <c r="L58" s="1"/>
      <c r="M58" s="5"/>
      <c r="N58" s="5"/>
      <c r="O58" s="5"/>
      <c r="P58" s="5"/>
      <c r="Q58" s="5"/>
      <c r="R58" s="5"/>
      <c r="S58" s="5"/>
      <c r="T58" s="1"/>
      <c r="U58" s="1"/>
      <c r="V58" s="1"/>
      <c r="W58" s="1"/>
      <c r="X58" s="12"/>
      <c r="Y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3"/>
      <c r="J59" s="4"/>
      <c r="K59" s="4"/>
      <c r="L59" s="1"/>
      <c r="M59" s="5"/>
      <c r="N59" s="5"/>
      <c r="O59" s="5"/>
      <c r="P59" s="5"/>
      <c r="Q59" s="5"/>
      <c r="R59" s="5"/>
      <c r="S59" s="5"/>
      <c r="T59" s="1"/>
      <c r="U59" s="1"/>
      <c r="V59" s="1"/>
      <c r="W59" s="1"/>
      <c r="X59" s="12"/>
      <c r="Y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3"/>
      <c r="J60" s="4"/>
      <c r="K60" s="4"/>
      <c r="L60" s="1"/>
      <c r="M60" s="5"/>
      <c r="N60" s="5"/>
      <c r="O60" s="5"/>
      <c r="P60" s="5"/>
      <c r="Q60" s="5"/>
      <c r="R60" s="5"/>
      <c r="S60" s="5"/>
      <c r="T60" s="1"/>
      <c r="U60" s="1"/>
      <c r="V60" s="1"/>
      <c r="W60" s="1"/>
      <c r="X60" s="12"/>
      <c r="Y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3"/>
      <c r="J61" s="4"/>
      <c r="K61" s="4"/>
      <c r="L61" s="1"/>
      <c r="M61" s="5"/>
      <c r="N61" s="5"/>
      <c r="O61" s="5"/>
      <c r="P61" s="5"/>
      <c r="Q61" s="5"/>
      <c r="R61" s="5"/>
      <c r="S61" s="5"/>
      <c r="T61" s="1"/>
      <c r="U61" s="1"/>
      <c r="V61" s="1"/>
      <c r="W61" s="1"/>
      <c r="X61" s="12"/>
      <c r="Y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3"/>
      <c r="J62" s="4"/>
      <c r="K62" s="4"/>
      <c r="L62" s="1"/>
      <c r="M62" s="5"/>
      <c r="N62" s="5"/>
      <c r="O62" s="5"/>
      <c r="P62" s="5"/>
      <c r="Q62" s="5"/>
      <c r="R62" s="5"/>
      <c r="S62" s="5"/>
      <c r="T62" s="1"/>
      <c r="U62" s="1"/>
      <c r="V62" s="1"/>
      <c r="W62" s="1"/>
      <c r="X62" s="8"/>
      <c r="Y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3"/>
      <c r="J63" s="4"/>
      <c r="K63" s="4"/>
      <c r="L63" s="1"/>
      <c r="M63" s="5"/>
      <c r="N63" s="5"/>
      <c r="O63" s="5"/>
      <c r="P63" s="5"/>
      <c r="Q63" s="5"/>
      <c r="R63" s="5"/>
      <c r="S63" s="5"/>
      <c r="T63" s="1"/>
      <c r="U63" s="1"/>
      <c r="V63" s="1"/>
      <c r="W63" s="1"/>
      <c r="X63" s="8"/>
      <c r="Y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3"/>
      <c r="J64" s="4"/>
      <c r="K64" s="4"/>
      <c r="L64" s="1"/>
      <c r="M64" s="5"/>
      <c r="N64" s="5"/>
      <c r="O64" s="5"/>
      <c r="P64" s="5"/>
      <c r="Q64" s="5"/>
      <c r="R64" s="5"/>
      <c r="S64" s="5"/>
      <c r="T64" s="1"/>
      <c r="U64" s="1"/>
      <c r="V64" s="1"/>
      <c r="W64" s="1"/>
      <c r="X64" s="27"/>
      <c r="Y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3"/>
      <c r="J65" s="4"/>
      <c r="K65" s="4"/>
      <c r="L65" s="1"/>
      <c r="M65" s="5"/>
      <c r="N65" s="5"/>
      <c r="O65" s="5"/>
      <c r="P65" s="5"/>
      <c r="Q65" s="5"/>
      <c r="R65" s="5"/>
      <c r="S65" s="5"/>
      <c r="T65" s="1"/>
      <c r="U65" s="1"/>
      <c r="V65" s="1"/>
      <c r="W65" s="1"/>
      <c r="X65" s="8"/>
      <c r="Y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3"/>
      <c r="J66" s="4"/>
      <c r="K66" s="4"/>
      <c r="L66" s="1"/>
      <c r="M66" s="5"/>
      <c r="N66" s="5"/>
      <c r="O66" s="5"/>
      <c r="P66" s="5"/>
      <c r="Q66" s="5"/>
      <c r="R66" s="5"/>
      <c r="S66" s="5"/>
      <c r="T66" s="1"/>
      <c r="U66" s="1"/>
      <c r="V66" s="1"/>
      <c r="W66" s="1"/>
      <c r="X66" s="8"/>
      <c r="Y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3"/>
      <c r="J67" s="4"/>
      <c r="K67" s="4"/>
      <c r="L67" s="1"/>
      <c r="M67" s="5"/>
      <c r="N67" s="5"/>
      <c r="O67" s="5"/>
      <c r="P67" s="5"/>
      <c r="Q67" s="5"/>
      <c r="R67" s="5"/>
      <c r="S67" s="5"/>
      <c r="T67" s="1"/>
      <c r="U67" s="1"/>
      <c r="V67" s="1"/>
      <c r="W67" s="1"/>
      <c r="X67" s="8"/>
      <c r="Y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3"/>
      <c r="J68" s="4"/>
      <c r="K68" s="4"/>
      <c r="L68" s="1"/>
      <c r="M68" s="5"/>
      <c r="N68" s="5"/>
      <c r="O68" s="5"/>
      <c r="P68" s="5"/>
      <c r="Q68" s="5"/>
      <c r="R68" s="5"/>
      <c r="S68" s="5"/>
      <c r="T68" s="1"/>
      <c r="U68" s="1"/>
      <c r="V68" s="1"/>
      <c r="W68" s="1"/>
      <c r="X68" s="8"/>
      <c r="Y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3"/>
      <c r="J69" s="4"/>
      <c r="K69" s="4"/>
      <c r="L69" s="1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8"/>
      <c r="Y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3"/>
      <c r="J70" s="4"/>
      <c r="K70" s="4"/>
      <c r="L70" s="1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8"/>
      <c r="Y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3"/>
      <c r="J71" s="4"/>
      <c r="K71" s="4"/>
      <c r="L71" s="1"/>
      <c r="M71" s="5"/>
      <c r="N71" s="5"/>
      <c r="O71" s="5"/>
      <c r="P71" s="5"/>
      <c r="Q71" s="5"/>
      <c r="R71" s="5"/>
      <c r="S71" s="5"/>
      <c r="T71" s="1"/>
      <c r="U71" s="1"/>
      <c r="V71" s="1"/>
      <c r="W71" s="1"/>
      <c r="X71" s="8"/>
      <c r="Y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3"/>
      <c r="J72" s="4"/>
      <c r="K72" s="4"/>
      <c r="L72" s="1"/>
      <c r="M72" s="5"/>
      <c r="N72" s="5"/>
      <c r="O72" s="5"/>
      <c r="P72" s="5"/>
      <c r="Q72" s="5"/>
      <c r="R72" s="5"/>
      <c r="S72" s="5"/>
      <c r="T72" s="1"/>
      <c r="U72" s="1"/>
      <c r="V72" s="1"/>
      <c r="W72" s="1"/>
      <c r="X72" s="8"/>
      <c r="Y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3"/>
      <c r="J73" s="4"/>
      <c r="K73" s="4"/>
      <c r="L73" s="1"/>
      <c r="M73" s="5"/>
      <c r="N73" s="5"/>
      <c r="O73" s="5"/>
      <c r="P73" s="5"/>
      <c r="Q73" s="5"/>
      <c r="R73" s="5"/>
      <c r="S73" s="5"/>
      <c r="T73" s="1"/>
      <c r="U73" s="1"/>
      <c r="V73" s="1"/>
      <c r="W73" s="1"/>
      <c r="X73" s="21"/>
      <c r="Y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3"/>
      <c r="J74" s="4"/>
      <c r="K74" s="4"/>
      <c r="L74" s="1"/>
      <c r="M74" s="5"/>
      <c r="N74" s="5"/>
      <c r="O74" s="5"/>
      <c r="P74" s="5"/>
      <c r="Q74" s="5"/>
      <c r="R74" s="5"/>
      <c r="S74" s="5"/>
      <c r="T74" s="1"/>
      <c r="U74" s="1"/>
      <c r="V74" s="1"/>
      <c r="W74" s="1"/>
      <c r="X74" s="21"/>
      <c r="Y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3"/>
      <c r="J75" s="4"/>
      <c r="K75" s="4"/>
      <c r="L75" s="1"/>
      <c r="M75" s="5"/>
      <c r="N75" s="5"/>
      <c r="O75" s="5"/>
      <c r="P75" s="5"/>
      <c r="Q75" s="5"/>
      <c r="R75" s="5"/>
      <c r="S75" s="5"/>
      <c r="T75" s="1"/>
      <c r="U75" s="1"/>
      <c r="V75" s="1"/>
      <c r="W75" s="1"/>
      <c r="X75" s="21"/>
      <c r="Y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3"/>
      <c r="J76" s="4"/>
      <c r="K76" s="4"/>
      <c r="L76" s="1"/>
      <c r="M76" s="5"/>
      <c r="N76" s="5"/>
      <c r="O76" s="5"/>
      <c r="P76" s="5"/>
      <c r="Q76" s="5"/>
      <c r="R76" s="5"/>
      <c r="S76" s="5"/>
      <c r="T76" s="1"/>
      <c r="U76" s="1"/>
      <c r="V76" s="1"/>
      <c r="W76" s="1"/>
      <c r="X76" s="21"/>
      <c r="Y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3"/>
      <c r="J77" s="4"/>
      <c r="K77" s="4"/>
      <c r="L77" s="1"/>
      <c r="M77" s="5"/>
      <c r="N77" s="5"/>
      <c r="O77" s="5"/>
      <c r="P77" s="5"/>
      <c r="Q77" s="5"/>
      <c r="R77" s="5"/>
      <c r="S77" s="5"/>
      <c r="T77" s="1"/>
      <c r="U77" s="1"/>
      <c r="V77" s="1"/>
      <c r="W77" s="1"/>
      <c r="X77" s="21"/>
      <c r="Y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3"/>
      <c r="J78" s="4"/>
      <c r="K78" s="4"/>
      <c r="L78" s="1"/>
      <c r="M78" s="5"/>
      <c r="N78" s="5"/>
      <c r="O78" s="5"/>
      <c r="P78" s="5"/>
      <c r="Q78" s="5"/>
      <c r="R78" s="5"/>
      <c r="S78" s="5"/>
      <c r="T78" s="1"/>
      <c r="U78" s="1"/>
      <c r="V78" s="1"/>
      <c r="W78" s="1"/>
      <c r="X78" s="21"/>
      <c r="Y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3"/>
      <c r="J79" s="4"/>
      <c r="K79" s="4"/>
      <c r="L79" s="1"/>
      <c r="M79" s="5"/>
      <c r="N79" s="5"/>
      <c r="O79" s="5"/>
      <c r="P79" s="5"/>
      <c r="Q79" s="5"/>
      <c r="R79" s="5"/>
      <c r="S79" s="5"/>
      <c r="T79" s="1"/>
      <c r="U79" s="1"/>
      <c r="V79" s="1"/>
      <c r="W79" s="1"/>
      <c r="X79" s="21"/>
      <c r="Y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3"/>
      <c r="J80" s="4"/>
      <c r="K80" s="4"/>
      <c r="L80" s="1"/>
      <c r="M80" s="5"/>
      <c r="N80" s="5"/>
      <c r="O80" s="5"/>
      <c r="P80" s="5"/>
      <c r="Q80" s="5"/>
      <c r="R80" s="5"/>
      <c r="S80" s="5"/>
      <c r="T80" s="1"/>
      <c r="U80" s="1"/>
      <c r="V80" s="1"/>
      <c r="W80" s="1"/>
      <c r="X80" s="21"/>
      <c r="Y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3"/>
      <c r="J81" s="4"/>
      <c r="K81" s="4"/>
      <c r="L81" s="1"/>
      <c r="M81" s="5"/>
      <c r="N81" s="5"/>
      <c r="O81" s="5"/>
      <c r="P81" s="5"/>
      <c r="Q81" s="5"/>
      <c r="R81" s="5"/>
      <c r="S81" s="5"/>
      <c r="T81" s="1"/>
      <c r="U81" s="1"/>
      <c r="V81" s="1"/>
      <c r="W81" s="1"/>
      <c r="X81" s="21"/>
      <c r="Y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3"/>
      <c r="J82" s="4"/>
      <c r="K82" s="4"/>
      <c r="L82" s="1"/>
      <c r="M82" s="5"/>
      <c r="N82" s="5"/>
      <c r="O82" s="5"/>
      <c r="P82" s="5"/>
      <c r="Q82" s="5"/>
      <c r="R82" s="5"/>
      <c r="S82" s="5"/>
      <c r="T82" s="1"/>
      <c r="U82" s="1"/>
      <c r="V82" s="1"/>
      <c r="W82" s="1"/>
      <c r="X82" s="21"/>
      <c r="Y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3"/>
      <c r="J83" s="4"/>
      <c r="K83" s="4"/>
      <c r="L83" s="1"/>
      <c r="M83" s="5"/>
      <c r="N83" s="5"/>
      <c r="O83" s="5"/>
      <c r="P83" s="5"/>
      <c r="Q83" s="5"/>
      <c r="R83" s="5"/>
      <c r="S83" s="5"/>
      <c r="T83" s="1"/>
      <c r="U83" s="1"/>
      <c r="V83" s="1"/>
      <c r="W83" s="1"/>
      <c r="X83" s="21"/>
      <c r="Y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3"/>
      <c r="J84" s="4"/>
      <c r="K84" s="4"/>
      <c r="L84" s="1"/>
      <c r="M84" s="5"/>
      <c r="N84" s="5"/>
      <c r="O84" s="5"/>
      <c r="P84" s="5"/>
      <c r="Q84" s="5"/>
      <c r="R84" s="5"/>
      <c r="S84" s="5"/>
      <c r="T84" s="1"/>
      <c r="U84" s="1"/>
      <c r="V84" s="1"/>
      <c r="W84" s="1"/>
      <c r="X84" s="21"/>
      <c r="Y84" s="1"/>
    </row>
    <row r="85">
      <c r="X85" s="21"/>
      <c r="Y85" s="1"/>
    </row>
    <row r="86">
      <c r="X86" s="21"/>
      <c r="Y86" s="1"/>
    </row>
    <row r="87">
      <c r="X87" s="21"/>
      <c r="Y87" s="1"/>
    </row>
    <row r="88">
      <c r="X88" s="1"/>
      <c r="Y88" s="1"/>
    </row>
    <row r="89">
      <c r="X89" s="1"/>
      <c r="Y89" s="1"/>
    </row>
    <row r="90">
      <c r="X90" s="1"/>
      <c r="Y90" s="1"/>
    </row>
    <row r="91">
      <c r="X91" s="1"/>
      <c r="Y91" s="1"/>
    </row>
    <row r="92">
      <c r="X92" s="1"/>
      <c r="Y92" s="1"/>
    </row>
    <row r="93">
      <c r="X93" s="1"/>
      <c r="Y93" s="1"/>
    </row>
    <row r="94">
      <c r="X94" s="1"/>
      <c r="Y94" s="1"/>
    </row>
    <row r="95">
      <c r="X95" s="1"/>
      <c r="Y95" s="1"/>
    </row>
    <row r="96">
      <c r="X96" s="1"/>
      <c r="Y96" s="1"/>
    </row>
    <row r="97">
      <c r="X97" s="1"/>
      <c r="Y97" s="1"/>
    </row>
    <row r="98">
      <c r="X98" s="1"/>
      <c r="Y98" s="1"/>
    </row>
    <row r="99">
      <c r="X99" s="1"/>
      <c r="Y99" s="1"/>
    </row>
    <row r="100">
      <c r="X100" s="1"/>
      <c r="Y100" s="1"/>
    </row>
    <row r="101">
      <c r="X101" s="1"/>
      <c r="Y101" s="1"/>
    </row>
    <row r="102">
      <c r="X102" s="1"/>
      <c r="Y102" s="1"/>
    </row>
    <row r="103">
      <c r="X103" s="1"/>
      <c r="Y103" s="1"/>
    </row>
    <row r="104">
      <c r="X104" s="1"/>
      <c r="Y104" s="1"/>
    </row>
    <row r="105">
      <c r="X105" s="1"/>
      <c r="Y105" s="1"/>
    </row>
    <row r="106">
      <c r="X106" s="1"/>
      <c r="Y106" s="1"/>
    </row>
    <row r="107">
      <c r="X107" s="1"/>
      <c r="Y107" s="1"/>
    </row>
    <row r="108">
      <c r="X108" s="1"/>
      <c r="Y108" s="1"/>
    </row>
    <row r="109">
      <c r="X109" s="1"/>
      <c r="Y109" s="1"/>
    </row>
    <row r="110">
      <c r="X110" s="1"/>
      <c r="Y110" s="1"/>
    </row>
    <row r="111">
      <c r="X111" s="1"/>
      <c r="Y111" s="1"/>
    </row>
    <row r="112">
      <c r="X112" s="1"/>
      <c r="Y112" s="1"/>
    </row>
    <row r="113">
      <c r="X113" s="1"/>
      <c r="Y113" s="1"/>
    </row>
    <row r="114">
      <c r="X114" s="1"/>
      <c r="Y114" s="1"/>
    </row>
    <row r="115">
      <c r="X115" s="1"/>
      <c r="Y115" s="1"/>
    </row>
    <row r="116">
      <c r="X116" s="1"/>
      <c r="Y116" s="1"/>
    </row>
    <row r="117">
      <c r="X117" s="1"/>
      <c r="Y117" s="1"/>
    </row>
    <row r="118">
      <c r="X118" s="1"/>
      <c r="Y118" s="1"/>
    </row>
    <row r="119">
      <c r="X119" s="1"/>
      <c r="Y119" s="1"/>
    </row>
    <row r="120">
      <c r="X120" s="1"/>
      <c r="Y120" s="1"/>
    </row>
    <row r="121">
      <c r="X121" s="1"/>
      <c r="Y121" s="1"/>
    </row>
    <row r="122">
      <c r="X122" s="1"/>
      <c r="Y122" s="1"/>
    </row>
    <row r="123">
      <c r="X123" s="1"/>
      <c r="Y123" s="1"/>
    </row>
    <row r="124">
      <c r="X124" s="1"/>
      <c r="Y124" s="1"/>
    </row>
    <row r="125">
      <c r="X125" s="1"/>
      <c r="Y125" s="1"/>
    </row>
    <row r="126">
      <c r="X126" s="1"/>
      <c r="Y126" s="1"/>
    </row>
    <row r="127">
      <c r="X127" s="1"/>
      <c r="Y127" s="1"/>
    </row>
    <row r="128">
      <c r="X128" s="1"/>
      <c r="Y128" s="1"/>
    </row>
    <row r="129">
      <c r="X129" s="1"/>
      <c r="Y129" s="1"/>
    </row>
    <row r="130">
      <c r="X130" s="1"/>
      <c r="Y130" s="1"/>
    </row>
    <row r="131">
      <c r="X131" s="1"/>
      <c r="Y131" s="1"/>
    </row>
    <row r="132">
      <c r="X132" s="1"/>
      <c r="Y132" s="1"/>
    </row>
    <row r="133">
      <c r="X133" s="1"/>
      <c r="Y133" s="1"/>
    </row>
    <row r="134">
      <c r="X134" s="1"/>
      <c r="Y134" s="1"/>
    </row>
    <row r="135">
      <c r="X135" s="1"/>
      <c r="Y135" s="1"/>
    </row>
    <row r="136">
      <c r="X136" s="1"/>
      <c r="Y136" s="1"/>
    </row>
    <row r="137">
      <c r="X137" s="1"/>
      <c r="Y137" s="1"/>
    </row>
    <row r="138">
      <c r="X138" s="1"/>
      <c r="Y138" s="1"/>
    </row>
    <row r="139">
      <c r="X139" s="1"/>
      <c r="Y139" s="1"/>
    </row>
    <row r="140">
      <c r="X140" s="1"/>
      <c r="Y140" s="1"/>
    </row>
    <row r="141">
      <c r="X141" s="1"/>
      <c r="Y141" s="1"/>
    </row>
    <row r="142">
      <c r="X142" s="1"/>
      <c r="Y142" s="1"/>
    </row>
    <row r="143">
      <c r="X143" s="1"/>
      <c r="Y143" s="1"/>
    </row>
    <row r="144">
      <c r="X144" s="1"/>
      <c r="Y144" s="1"/>
    </row>
    <row r="145">
      <c r="X145" s="1"/>
      <c r="Y145" s="1"/>
    </row>
    <row r="146">
      <c r="X146" s="1"/>
      <c r="Y146" s="1"/>
    </row>
    <row r="147">
      <c r="X147" s="1"/>
      <c r="Y147" s="1"/>
    </row>
    <row r="148">
      <c r="X148" s="1"/>
      <c r="Y148" s="1"/>
    </row>
    <row r="149">
      <c r="X149" s="1"/>
      <c r="Y149" s="1"/>
    </row>
    <row r="150">
      <c r="X150" s="1"/>
      <c r="Y150" s="1"/>
    </row>
    <row r="151">
      <c r="X151" s="1"/>
      <c r="Y151" s="1"/>
    </row>
    <row r="152">
      <c r="X152" s="1"/>
      <c r="Y152" s="1"/>
    </row>
    <row r="153">
      <c r="X153" s="1"/>
      <c r="Y153" s="1"/>
    </row>
    <row r="154">
      <c r="X154" s="1"/>
      <c r="Y154" s="1"/>
    </row>
    <row r="155">
      <c r="X155" s="1"/>
      <c r="Y155" s="1"/>
    </row>
    <row r="156">
      <c r="X156" s="1"/>
      <c r="Y156" s="1"/>
    </row>
    <row r="157">
      <c r="X157" s="1"/>
      <c r="Y157" s="1"/>
    </row>
    <row r="158">
      <c r="X158" s="1"/>
      <c r="Y158" s="1"/>
    </row>
    <row r="159">
      <c r="X159" s="1"/>
      <c r="Y159" s="1"/>
    </row>
    <row r="160">
      <c r="X160" s="1"/>
      <c r="Y160" s="1"/>
    </row>
    <row r="161">
      <c r="X161" s="1"/>
      <c r="Y161" s="1"/>
    </row>
    <row r="162">
      <c r="X162" s="1"/>
      <c r="Y162" s="1"/>
    </row>
    <row r="163">
      <c r="X163" s="1"/>
      <c r="Y163" s="1"/>
    </row>
    <row r="164">
      <c r="X164" s="1"/>
      <c r="Y164" s="1"/>
    </row>
    <row r="165">
      <c r="X165" s="1"/>
      <c r="Y165" s="1"/>
    </row>
    <row r="166">
      <c r="X166" s="1"/>
      <c r="Y166" s="1"/>
    </row>
    <row r="167">
      <c r="X167" s="1"/>
      <c r="Y167" s="1"/>
    </row>
    <row r="168">
      <c r="X168" s="1"/>
      <c r="Y168" s="1"/>
    </row>
    <row r="169">
      <c r="X169" s="1"/>
      <c r="Y169" s="1"/>
    </row>
    <row r="170">
      <c r="X170" s="1"/>
      <c r="Y170" s="1"/>
    </row>
    <row r="171">
      <c r="X171" s="1"/>
      <c r="Y171" s="1"/>
    </row>
    <row r="172">
      <c r="X172" s="1"/>
      <c r="Y172" s="1"/>
    </row>
    <row r="173">
      <c r="X173" s="1"/>
      <c r="Y173" s="1"/>
    </row>
    <row r="174">
      <c r="X174" s="1"/>
      <c r="Y174" s="1"/>
    </row>
    <row r="175">
      <c r="X175" s="1"/>
      <c r="Y175" s="1"/>
    </row>
    <row r="176">
      <c r="X176" s="1"/>
      <c r="Y176" s="1"/>
    </row>
    <row r="177">
      <c r="X177" s="1"/>
      <c r="Y177" s="1"/>
    </row>
    <row r="178">
      <c r="X178" s="1"/>
      <c r="Y178" s="1"/>
    </row>
    <row r="179">
      <c r="X179" s="1"/>
      <c r="Y179" s="1"/>
    </row>
    <row r="180">
      <c r="X180" s="1"/>
      <c r="Y180" s="1"/>
    </row>
    <row r="181">
      <c r="X181" s="1"/>
      <c r="Y181" s="1"/>
    </row>
    <row r="182">
      <c r="X182" s="1"/>
      <c r="Y182" s="1"/>
    </row>
    <row r="183">
      <c r="X183" s="1"/>
      <c r="Y183" s="1"/>
    </row>
    <row r="184">
      <c r="X184" s="1"/>
      <c r="Y184" s="1"/>
    </row>
    <row r="185">
      <c r="X185" s="1"/>
      <c r="Y185" s="1"/>
    </row>
    <row r="186">
      <c r="X186" s="1"/>
      <c r="Y186" s="1"/>
    </row>
    <row r="187">
      <c r="X187" s="1"/>
      <c r="Y187" s="1"/>
    </row>
    <row r="188">
      <c r="X188" s="1"/>
      <c r="Y188" s="1"/>
    </row>
    <row r="189">
      <c r="X189" s="1"/>
      <c r="Y189" s="1"/>
    </row>
    <row r="190">
      <c r="X190" s="1"/>
      <c r="Y190" s="1"/>
    </row>
    <row r="191">
      <c r="X191" s="1"/>
      <c r="Y191" s="1"/>
    </row>
    <row r="192">
      <c r="X192" s="1"/>
      <c r="Y192" s="1"/>
    </row>
    <row r="193">
      <c r="X193" s="1"/>
      <c r="Y193" s="1"/>
    </row>
    <row r="194">
      <c r="X194" s="1"/>
      <c r="Y194" s="1"/>
    </row>
    <row r="195">
      <c r="X195" s="1"/>
      <c r="Y195" s="1"/>
    </row>
    <row r="196">
      <c r="X196" s="1"/>
      <c r="Y196" s="1"/>
    </row>
    <row r="197">
      <c r="X197" s="1"/>
      <c r="Y197" s="1"/>
    </row>
    <row r="198">
      <c r="X198" s="1"/>
      <c r="Y198" s="1"/>
    </row>
    <row r="199">
      <c r="X199" s="1"/>
      <c r="Y199" s="1"/>
    </row>
    <row r="200">
      <c r="X200" s="1"/>
      <c r="Y200" s="1"/>
    </row>
    <row r="201">
      <c r="X201" s="1"/>
      <c r="Y201" s="1"/>
    </row>
    <row r="202">
      <c r="X202" s="1"/>
      <c r="Y202" s="1"/>
    </row>
    <row r="203">
      <c r="X203" s="1"/>
      <c r="Y203" s="1"/>
    </row>
    <row r="204">
      <c r="X204" s="1"/>
      <c r="Y204" s="1"/>
    </row>
    <row r="205">
      <c r="X205" s="1"/>
      <c r="Y205" s="1"/>
    </row>
    <row r="206">
      <c r="X206" s="1"/>
      <c r="Y206" s="1"/>
    </row>
    <row r="207">
      <c r="X207" s="1"/>
      <c r="Y207" s="1"/>
    </row>
    <row r="208">
      <c r="X208" s="1"/>
      <c r="Y208" s="1"/>
    </row>
    <row r="209">
      <c r="X209" s="1"/>
      <c r="Y209" s="1"/>
    </row>
    <row r="210">
      <c r="X210" s="1"/>
      <c r="Y210" s="1"/>
    </row>
    <row r="211">
      <c r="X211" s="1"/>
      <c r="Y211" s="1"/>
    </row>
    <row r="212">
      <c r="X212" s="1"/>
      <c r="Y212" s="1"/>
    </row>
    <row r="213">
      <c r="X213" s="1"/>
      <c r="Y213" s="1"/>
    </row>
    <row r="214">
      <c r="X214" s="1"/>
      <c r="Y214" s="1"/>
    </row>
    <row r="215">
      <c r="X215" s="1"/>
      <c r="Y215" s="1"/>
    </row>
    <row r="216">
      <c r="X216" s="1"/>
      <c r="Y216" s="1"/>
    </row>
    <row r="217">
      <c r="X217" s="1"/>
      <c r="Y217" s="1"/>
    </row>
    <row r="218">
      <c r="X218" s="1"/>
      <c r="Y218" s="1"/>
    </row>
    <row r="219">
      <c r="X219" s="1"/>
      <c r="Y219" s="1"/>
    </row>
    <row r="220">
      <c r="X220" s="1"/>
      <c r="Y220" s="1"/>
    </row>
    <row r="221">
      <c r="X221" s="1"/>
    </row>
    <row r="222">
      <c r="X222" s="1"/>
    </row>
    <row r="223">
      <c r="X223" s="1"/>
    </row>
    <row r="224">
      <c r="X224" s="1"/>
    </row>
    <row r="225">
      <c r="X225" s="1"/>
    </row>
    <row r="226">
      <c r="X226" s="1"/>
    </row>
    <row r="227">
      <c r="X227" s="1"/>
    </row>
    <row r="228">
      <c r="X228" s="1"/>
    </row>
    <row r="229">
      <c r="X229" s="1"/>
    </row>
    <row r="230">
      <c r="X230" s="1"/>
    </row>
    <row r="231">
      <c r="X231" s="1"/>
    </row>
    <row r="232">
      <c r="X232" s="1"/>
    </row>
    <row r="233">
      <c r="X233" s="1"/>
    </row>
    <row r="234">
      <c r="X234" s="1"/>
    </row>
    <row r="235">
      <c r="X235" s="1"/>
    </row>
    <row r="236">
      <c r="X236" s="1"/>
    </row>
    <row r="237">
      <c r="X237" s="1"/>
    </row>
    <row r="238">
      <c r="X238" s="1"/>
    </row>
    <row r="239">
      <c r="X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H9">
      <formula1>"Español,English"</formula1>
    </dataValidation>
    <dataValidation type="list" allowBlank="1" showErrorMessage="1" sqref="E11:E34">
      <formula1>WLF!$CA$12:$CA$13</formula1>
    </dataValidation>
    <dataValidation type="list" allowBlank="1" showErrorMessage="1" sqref="F11:F34">
      <formula1>WLF!$BW$12:$BW$21</formula1>
    </dataValidation>
  </dataValidations>
  <printOptions/>
  <pageMargins bottom="0.75" footer="0.0" header="0.0" left="0.75" right="0.25" top="1.0"/>
  <pageSetup fitToHeight="0" paperSize="9" orientation="landscape"/>
  <drawing r:id="rId1"/>
</worksheet>
</file>