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EGS" sheetId="1" r:id="rId4"/>
  </sheets>
  <definedNames/>
  <calcPr/>
</workbook>
</file>

<file path=xl/sharedStrings.xml><?xml version="1.0" encoding="utf-8"?>
<sst xmlns="http://schemas.openxmlformats.org/spreadsheetml/2006/main" count="1099" uniqueCount="670">
  <si>
    <t>v 1.0</t>
  </si>
  <si>
    <t>[DIV] - Clavados</t>
  </si>
  <si>
    <t>[SWM] - Natación</t>
  </si>
  <si>
    <t>[SWA] - Natación Artística</t>
  </si>
  <si>
    <t>[WPO] - Polo Acuático</t>
  </si>
  <si>
    <t>[OWS] - Aguas Abiertas</t>
  </si>
  <si>
    <t>[ATH] - Atletismo</t>
  </si>
  <si>
    <t>[BDM] - Bádminton</t>
  </si>
  <si>
    <t>[BKB] - Básquetbol</t>
  </si>
  <si>
    <t>[BK3] - Básquetbol 3x3</t>
  </si>
  <si>
    <t>[HBL] - Balonmano</t>
  </si>
  <si>
    <t>[BBL] - Béisbol</t>
  </si>
  <si>
    <t>[SBL] - Sóftbol</t>
  </si>
  <si>
    <t>[BWL] - Bowling</t>
  </si>
  <si>
    <t>[BOX] - Boxeo</t>
  </si>
  <si>
    <t>[BKG] - Breaking</t>
  </si>
  <si>
    <t>[CSP] - Canotaje - Velocidad</t>
  </si>
  <si>
    <t>[CSL] - Canotaje - Slalom</t>
  </si>
  <si>
    <t>[BMF] - Ciclismo - BMX Freestyle</t>
  </si>
  <si>
    <t>[BMX] - Ciclismo - BMX Racing</t>
  </si>
  <si>
    <t>[MTB] - Ciclismo - Mountain Bike</t>
  </si>
  <si>
    <t>[CRD] - Ciclismo - Ruta</t>
  </si>
  <si>
    <t>[CTR] - Ciclismo - Pista</t>
  </si>
  <si>
    <t>[EDR] - Ecuestre - Adiestramiento</t>
  </si>
  <si>
    <t>[EVE] - Ecuestre - Evento Completo</t>
  </si>
  <si>
    <t>[EJP] - Ecuestre - Salto</t>
  </si>
  <si>
    <t>[CLB] - Escalada Deportiva</t>
  </si>
  <si>
    <t>[FEN] - Esgrima</t>
  </si>
  <si>
    <t>[WSK] - Esquí Acuático</t>
  </si>
  <si>
    <t>[FBL] - Fútbol</t>
  </si>
  <si>
    <t>[GAR] - Gimnasia - Artística</t>
  </si>
  <si>
    <t>[GRY] - Gimnasia - Rítmica</t>
  </si>
  <si>
    <t>[GTR] - Gimnasia - Trampolín</t>
  </si>
  <si>
    <t>[GLF] - Golf</t>
  </si>
  <si>
    <t>[HOC] - Hockey Césped</t>
  </si>
  <si>
    <t>[JUD] - Judo</t>
  </si>
  <si>
    <t>[KTE] - Karate</t>
  </si>
  <si>
    <t>[WLF] - Levantamiento de Pesas</t>
  </si>
  <si>
    <t xml:space="preserve">[WRE] - Lucha </t>
  </si>
  <si>
    <t>[ARS] - Patinaje Artístico</t>
  </si>
  <si>
    <t>[SSK] - Patinaje Velocidad</t>
  </si>
  <si>
    <t>[SKB] - Skateboarding</t>
  </si>
  <si>
    <t>[PEL] - Pelota Vasca</t>
  </si>
  <si>
    <t>[MPN] - Pentatlón Moderno</t>
  </si>
  <si>
    <t>[RQL] - Ráquetbol</t>
  </si>
  <si>
    <t>[ROW] - Remo</t>
  </si>
  <si>
    <t>[RUG] - Rugby 7</t>
  </si>
  <si>
    <t>[SQU] - Squash</t>
  </si>
  <si>
    <t>[SRF] - Surf</t>
  </si>
  <si>
    <t>[TKW] - Taekwondo</t>
  </si>
  <si>
    <t>[TEN] - Tenis</t>
  </si>
  <si>
    <t>[TTE] - Tenis de Mesa</t>
  </si>
  <si>
    <t>[ARC] - Tiro con Arco</t>
  </si>
  <si>
    <t>[SHO] - Tiro</t>
  </si>
  <si>
    <t>[TRI] - Triatlón</t>
  </si>
  <si>
    <t>[SAL] - Vela</t>
  </si>
  <si>
    <t>[VVO] - Vóleibol</t>
  </si>
  <si>
    <t>[VBV] - Vóleibol Playa</t>
  </si>
  <si>
    <t>Genero</t>
  </si>
  <si>
    <t>Español</t>
  </si>
  <si>
    <t>Individual 1m Trampolín</t>
  </si>
  <si>
    <t>Individual 3m Trampolín</t>
  </si>
  <si>
    <t>Individual 10m Plataforma</t>
  </si>
  <si>
    <t>Sincronizados 3m Trampolín</t>
  </si>
  <si>
    <t>Sincronizados 10m Plataforma</t>
  </si>
  <si>
    <t>50m libre</t>
  </si>
  <si>
    <t>100m libre</t>
  </si>
  <si>
    <t>200m libre</t>
  </si>
  <si>
    <t>400m libre</t>
  </si>
  <si>
    <t>800m libre</t>
  </si>
  <si>
    <t>1.500m libre</t>
  </si>
  <si>
    <t>100m espalda</t>
  </si>
  <si>
    <t>200m espalda</t>
  </si>
  <si>
    <t>100m pecho</t>
  </si>
  <si>
    <t>200m pecho</t>
  </si>
  <si>
    <t>100m mariposa</t>
  </si>
  <si>
    <t>200m mariposa</t>
  </si>
  <si>
    <t>200m combinado individual</t>
  </si>
  <si>
    <t>400m combinado individual</t>
  </si>
  <si>
    <t>4 x 100m posta libre</t>
  </si>
  <si>
    <t>4 x 200m posta libre</t>
  </si>
  <si>
    <t>4 x 100m posta combinada</t>
  </si>
  <si>
    <t>Mixto 4 x 100m posta libre</t>
  </si>
  <si>
    <t>Mixto 4 x 100m posta combinada</t>
  </si>
  <si>
    <t>Equipos</t>
  </si>
  <si>
    <t>Duetos</t>
  </si>
  <si>
    <t>Polo Acuático</t>
  </si>
  <si>
    <t>Aguas Abiertas</t>
  </si>
  <si>
    <t>100m</t>
  </si>
  <si>
    <t>200m</t>
  </si>
  <si>
    <t>400m</t>
  </si>
  <si>
    <t>800m</t>
  </si>
  <si>
    <t>1500m</t>
  </si>
  <si>
    <t>5000m</t>
  </si>
  <si>
    <t>10000m</t>
  </si>
  <si>
    <t>110 / 100 vallas</t>
  </si>
  <si>
    <t>400 Vallas</t>
  </si>
  <si>
    <t>3000 con obstáculos</t>
  </si>
  <si>
    <t>4x100m</t>
  </si>
  <si>
    <t>4x400m</t>
  </si>
  <si>
    <t>Salto de Altura</t>
  </si>
  <si>
    <t>Salto de Longitud</t>
  </si>
  <si>
    <t>Salto Triple</t>
  </si>
  <si>
    <t>Salto con Pérdiga</t>
  </si>
  <si>
    <t>Lanzamiento de Bala</t>
  </si>
  <si>
    <t>Lanzamiento de Disco</t>
  </si>
  <si>
    <t>Lanzamiento de Jabalina</t>
  </si>
  <si>
    <t>Lanzamiento de Martillo</t>
  </si>
  <si>
    <t>20 km marcha</t>
  </si>
  <si>
    <t>Marathon</t>
  </si>
  <si>
    <t>Decatlón</t>
  </si>
  <si>
    <t>Heptatlón</t>
  </si>
  <si>
    <t>Mixto 35 km marcha</t>
  </si>
  <si>
    <t>Mixto 4x400m</t>
  </si>
  <si>
    <t>Individual</t>
  </si>
  <si>
    <t>Dobles</t>
  </si>
  <si>
    <t>Dobles Mixto</t>
  </si>
  <si>
    <t>Básquetbol</t>
  </si>
  <si>
    <t>Básquetbol 3x3</t>
  </si>
  <si>
    <t>Balonmano</t>
  </si>
  <si>
    <t>Béisbol</t>
  </si>
  <si>
    <t>Sóftbol</t>
  </si>
  <si>
    <t>M 51 Kg</t>
  </si>
  <si>
    <t>M 57 Kg</t>
  </si>
  <si>
    <t>M 63.5 Kg</t>
  </si>
  <si>
    <t>M 71 Kg</t>
  </si>
  <si>
    <t>M 80 Kg</t>
  </si>
  <si>
    <t>M 92 Kg</t>
  </si>
  <si>
    <t>M +92 Kg</t>
  </si>
  <si>
    <t>F 50 Kg</t>
  </si>
  <si>
    <t>F 54 Kg</t>
  </si>
  <si>
    <t>F 57 Kg</t>
  </si>
  <si>
    <t>F 60 Kg</t>
  </si>
  <si>
    <t>F 66 Kg</t>
  </si>
  <si>
    <t>F 75 Kg</t>
  </si>
  <si>
    <t>Breaking</t>
  </si>
  <si>
    <t>MK1 1,000m</t>
  </si>
  <si>
    <t>MK2 500m</t>
  </si>
  <si>
    <t>MK4 500m</t>
  </si>
  <si>
    <t>MC1 1,000m</t>
  </si>
  <si>
    <t>MC2 500m</t>
  </si>
  <si>
    <t>WK1 500m</t>
  </si>
  <si>
    <t>WK2 500m</t>
  </si>
  <si>
    <t>WK4 500M</t>
  </si>
  <si>
    <t>WC1 200m</t>
  </si>
  <si>
    <t>WC2 500m</t>
  </si>
  <si>
    <t>K1</t>
  </si>
  <si>
    <t>C1</t>
  </si>
  <si>
    <t>K1 Extreme</t>
  </si>
  <si>
    <t>BMX Freestyle</t>
  </si>
  <si>
    <t>BMX Racing</t>
  </si>
  <si>
    <t>Cross-Country</t>
  </si>
  <si>
    <t>Contrareloj</t>
  </si>
  <si>
    <t>Gran Fondo</t>
  </si>
  <si>
    <t>Velocidad Individual</t>
  </si>
  <si>
    <t>Keirin</t>
  </si>
  <si>
    <t>Omnium</t>
  </si>
  <si>
    <t>Velocidad Equipos</t>
  </si>
  <si>
    <t>Persecución Equipos</t>
  </si>
  <si>
    <t>Madison</t>
  </si>
  <si>
    <t>Adiestramiento Individual</t>
  </si>
  <si>
    <t>Adiestramiento Equipos</t>
  </si>
  <si>
    <t>Evento Completo Individual</t>
  </si>
  <si>
    <t>Evento Completo Equipos</t>
  </si>
  <si>
    <t>Salto Individual</t>
  </si>
  <si>
    <t>Salto Equipos</t>
  </si>
  <si>
    <t>Velocidad</t>
  </si>
  <si>
    <t>Boulder &amp; Lead</t>
  </si>
  <si>
    <t>Espada Individual</t>
  </si>
  <si>
    <t>Florete Individual</t>
  </si>
  <si>
    <t>Sable Individual</t>
  </si>
  <si>
    <t>Espada Equipos</t>
  </si>
  <si>
    <t>Florete Equipos</t>
  </si>
  <si>
    <t>Sable Equipos</t>
  </si>
  <si>
    <t>Figuras</t>
  </si>
  <si>
    <t>Slalom</t>
  </si>
  <si>
    <t>Salto</t>
  </si>
  <si>
    <t>Overall</t>
  </si>
  <si>
    <t>Wakeboard</t>
  </si>
  <si>
    <t>Fútbol</t>
  </si>
  <si>
    <t>Individual General</t>
  </si>
  <si>
    <t>Suelo</t>
  </si>
  <si>
    <t>Caballo Con Arzones</t>
  </si>
  <si>
    <t>Anillas</t>
  </si>
  <si>
    <t>Barras Paralelas</t>
  </si>
  <si>
    <t>Barra Fija</t>
  </si>
  <si>
    <t>Barras Asimétricas</t>
  </si>
  <si>
    <t>Viga De Equilibrio</t>
  </si>
  <si>
    <t>General Individual</t>
  </si>
  <si>
    <t>Aro</t>
  </si>
  <si>
    <t>Pelota</t>
  </si>
  <si>
    <t>Mazas</t>
  </si>
  <si>
    <t>Cinta</t>
  </si>
  <si>
    <t>General De Conjuntos</t>
  </si>
  <si>
    <t>5 Aros</t>
  </si>
  <si>
    <t>3 Cintas/2 Pelotas</t>
  </si>
  <si>
    <t>Sincronizados</t>
  </si>
  <si>
    <t>Golf</t>
  </si>
  <si>
    <t>Hockey Césped</t>
  </si>
  <si>
    <t>M -60 Kg</t>
  </si>
  <si>
    <t>M -66 Kg</t>
  </si>
  <si>
    <t>M -73 Kg</t>
  </si>
  <si>
    <t>M -81 Kg</t>
  </si>
  <si>
    <t>M -90 Kg</t>
  </si>
  <si>
    <t>M -100 Kg</t>
  </si>
  <si>
    <t>M +100 Kg</t>
  </si>
  <si>
    <t>F -48 Kg</t>
  </si>
  <si>
    <t>F -52 Kg</t>
  </si>
  <si>
    <t>F -57 Kg</t>
  </si>
  <si>
    <t>F -63 Kg</t>
  </si>
  <si>
    <t>F -70 Kg</t>
  </si>
  <si>
    <t>F -78 Kg</t>
  </si>
  <si>
    <t>F +78 Kg</t>
  </si>
  <si>
    <t>Equipo  mixto</t>
  </si>
  <si>
    <t>Kumite M -60 Kg</t>
  </si>
  <si>
    <t>Kumite M -67 Kg</t>
  </si>
  <si>
    <t>Kumite M -75 Kg</t>
  </si>
  <si>
    <t>Kumite M -84 Kg</t>
  </si>
  <si>
    <t>Kumite M +84 Kg</t>
  </si>
  <si>
    <t>Kumite F -50 Kg</t>
  </si>
  <si>
    <t>Kumite F -55 Kg</t>
  </si>
  <si>
    <t>Kumite F -61 Kg</t>
  </si>
  <si>
    <t xml:space="preserve">Kumite F -68 Kg </t>
  </si>
  <si>
    <t>Kumite F +68 Kg</t>
  </si>
  <si>
    <t>Kata</t>
  </si>
  <si>
    <t>M 61 Kg</t>
  </si>
  <si>
    <t>M 73 Kg</t>
  </si>
  <si>
    <t>M 89 Kg</t>
  </si>
  <si>
    <t>M 102 Kg</t>
  </si>
  <si>
    <t>M +102 Kg</t>
  </si>
  <si>
    <t>F 49 Kg</t>
  </si>
  <si>
    <t>F 59 Kg</t>
  </si>
  <si>
    <t>F 71 Kg</t>
  </si>
  <si>
    <t>F 81 Kg</t>
  </si>
  <si>
    <t>F +81 Kg</t>
  </si>
  <si>
    <t>Grecoromana 60 Kg</t>
  </si>
  <si>
    <t>Grecoromana 67 Kg</t>
  </si>
  <si>
    <t>Grecoromana 77 Kg</t>
  </si>
  <si>
    <t>Grecoromana 87 Kg</t>
  </si>
  <si>
    <t>Grecoromana 97 Kg</t>
  </si>
  <si>
    <t>Grecoromana 130 Kg</t>
  </si>
  <si>
    <t>Libre M 57 Kg</t>
  </si>
  <si>
    <t>Libre M 65 Kg</t>
  </si>
  <si>
    <t>Libre M 74 Kg</t>
  </si>
  <si>
    <t>Libre M 86 Kg</t>
  </si>
  <si>
    <t>Libre M 97 Kg</t>
  </si>
  <si>
    <t>Libre M 125 Kg</t>
  </si>
  <si>
    <t>Libre F 50 Kg</t>
  </si>
  <si>
    <t>Libre F 53 Kg</t>
  </si>
  <si>
    <t>Libre F 57 Kg</t>
  </si>
  <si>
    <t>Libre F 62 Kg</t>
  </si>
  <si>
    <t>Libre F 68 Kg</t>
  </si>
  <si>
    <t>Libre F 76 Kg</t>
  </si>
  <si>
    <t>Libre</t>
  </si>
  <si>
    <t>200m Meta Contra Meta</t>
  </si>
  <si>
    <t>500m + Distancia</t>
  </si>
  <si>
    <t>10000m Eliminación</t>
  </si>
  <si>
    <t>1000m Sprint</t>
  </si>
  <si>
    <t>Street</t>
  </si>
  <si>
    <t>Park</t>
  </si>
  <si>
    <t>Pelota goma – Dobles Trinquete</t>
  </si>
  <si>
    <t>Pelota goma – Individual (Frontón)</t>
  </si>
  <si>
    <t>Frontenis -Dobles (Frontón)</t>
  </si>
  <si>
    <t>Frontball</t>
  </si>
  <si>
    <t>Relevos</t>
  </si>
  <si>
    <t>Relevos Mixtos</t>
  </si>
  <si>
    <t>Dobles Mixtos</t>
  </si>
  <si>
    <t>M1x</t>
  </si>
  <si>
    <t>M2x</t>
  </si>
  <si>
    <t>M4x</t>
  </si>
  <si>
    <t>M2-</t>
  </si>
  <si>
    <t>M4-</t>
  </si>
  <si>
    <t>LM2x</t>
  </si>
  <si>
    <t>W1x</t>
  </si>
  <si>
    <t>W2x</t>
  </si>
  <si>
    <t>W4x</t>
  </si>
  <si>
    <t>W2-</t>
  </si>
  <si>
    <t>W4-</t>
  </si>
  <si>
    <t>LW2x</t>
  </si>
  <si>
    <t>Mixto 8+</t>
  </si>
  <si>
    <t>Rugby 7</t>
  </si>
  <si>
    <t>Shortboard</t>
  </si>
  <si>
    <t>Sup Surf</t>
  </si>
  <si>
    <t>Sup Race</t>
  </si>
  <si>
    <t>Longboard</t>
  </si>
  <si>
    <t>M Kyorugi -58 Kg</t>
  </si>
  <si>
    <t>M Kyorugi -68 Kg</t>
  </si>
  <si>
    <t>M Kyorugi -80 Kg</t>
  </si>
  <si>
    <t>M Kyorugi +80 Kg</t>
  </si>
  <si>
    <t>F Kyorugi -49 Kg</t>
  </si>
  <si>
    <t>F Kyorugi -57 Kg</t>
  </si>
  <si>
    <t>F Kyorugi -67 Kg</t>
  </si>
  <si>
    <t>F Kyorugi +67 Kg</t>
  </si>
  <si>
    <t>Poomsae Tradicional Individual</t>
  </si>
  <si>
    <t>Poomsae Parejas Libres</t>
  </si>
  <si>
    <t>Recurvo Individual</t>
  </si>
  <si>
    <t>Individual Compuesto</t>
  </si>
  <si>
    <t>Equipo Recurvo</t>
  </si>
  <si>
    <t>Equipo Compuesto</t>
  </si>
  <si>
    <t>Equipo Recurvo Mixto</t>
  </si>
  <si>
    <t>Equipo Compuesto Mixto</t>
  </si>
  <si>
    <t>Rifle 50m 3 Posiciones</t>
  </si>
  <si>
    <t>10m Rifle De Aire</t>
  </si>
  <si>
    <t>10m Pistola De Aire</t>
  </si>
  <si>
    <t>25m Pistola De Fuego Rapido</t>
  </si>
  <si>
    <t>25m Pistola Deportiva</t>
  </si>
  <si>
    <t>Skeet</t>
  </si>
  <si>
    <t>Trap</t>
  </si>
  <si>
    <t>Mixto 10m Rifle De Aire</t>
  </si>
  <si>
    <t>Mixto 10m Pistola De Aire</t>
  </si>
  <si>
    <t>Mixto Skeet</t>
  </si>
  <si>
    <t>Tabla A Vela (Iqfoil)</t>
  </si>
  <si>
    <t>Bote (Ilca 7)</t>
  </si>
  <si>
    <t>Bote (Ilca 6)</t>
  </si>
  <si>
    <t>Bote (Sunfish)</t>
  </si>
  <si>
    <t>Skiff (49Er)</t>
  </si>
  <si>
    <t>Skiff (49Er Fx)</t>
  </si>
  <si>
    <t>Kite (Fomula Kite)</t>
  </si>
  <si>
    <t>Mixto Catamarán (Nacra 17)</t>
  </si>
  <si>
    <t>Mixto Bote (Snipe)</t>
  </si>
  <si>
    <t>Mixto Bote (Lightning)</t>
  </si>
  <si>
    <t>Vóleibol</t>
  </si>
  <si>
    <t>Vóleibol Playa</t>
  </si>
  <si>
    <t>Masculino</t>
  </si>
  <si>
    <t>Femenino</t>
  </si>
  <si>
    <t>English</t>
  </si>
  <si>
    <t>1m Trampoline</t>
  </si>
  <si>
    <t>3m Trampoline</t>
  </si>
  <si>
    <t>10m Platform</t>
  </si>
  <si>
    <t>Synchronized 3m Trampoline</t>
  </si>
  <si>
    <t>Synchronized 10m Platform</t>
  </si>
  <si>
    <t>50 m freestyle</t>
  </si>
  <si>
    <t>100 m freestyle</t>
  </si>
  <si>
    <t>200 m freestyle</t>
  </si>
  <si>
    <t>400 m freestyle</t>
  </si>
  <si>
    <t>800 m freestyle</t>
  </si>
  <si>
    <t>1,500 m freestyle</t>
  </si>
  <si>
    <t>100 m back</t>
  </si>
  <si>
    <t>200 m back</t>
  </si>
  <si>
    <t>100 m chest</t>
  </si>
  <si>
    <t>200 m chest</t>
  </si>
  <si>
    <t>100 m butterfly</t>
  </si>
  <si>
    <t>200 m butterfly</t>
  </si>
  <si>
    <t>200 m Combined individual</t>
  </si>
  <si>
    <t>400 m Combined individual</t>
  </si>
  <si>
    <t>4 x 100 m freestyle relay</t>
  </si>
  <si>
    <t>4 x 200 m freestyle relay</t>
  </si>
  <si>
    <t>4 x 100 m combined relay</t>
  </si>
  <si>
    <t>Mixed 4 x 100 m freestyle relay</t>
  </si>
  <si>
    <t>Mixed 4 x 100 m combined relay</t>
  </si>
  <si>
    <t>Team</t>
  </si>
  <si>
    <t>Doubles</t>
  </si>
  <si>
    <t>Waterpolo</t>
  </si>
  <si>
    <t>Open Water Swimming</t>
  </si>
  <si>
    <t>110 / 100 Hurdles</t>
  </si>
  <si>
    <t>400 hurdles</t>
  </si>
  <si>
    <t>3000 with obstacles</t>
  </si>
  <si>
    <t>High jump</t>
  </si>
  <si>
    <t>Long jump</t>
  </si>
  <si>
    <t>Triple jump</t>
  </si>
  <si>
    <t>Pole Vault</t>
  </si>
  <si>
    <t>Put Shot</t>
  </si>
  <si>
    <t>Discus throw</t>
  </si>
  <si>
    <t>Javelin throw</t>
  </si>
  <si>
    <t>Hammer throw</t>
  </si>
  <si>
    <t>20 km march</t>
  </si>
  <si>
    <t>Decathlon</t>
  </si>
  <si>
    <t>Heptathlon</t>
  </si>
  <si>
    <t>Mixed 35 km march</t>
  </si>
  <si>
    <t>Mixed 4x400m</t>
  </si>
  <si>
    <t>Mixed doubles</t>
  </si>
  <si>
    <t>Basketball</t>
  </si>
  <si>
    <t>Basketball 3x3</t>
  </si>
  <si>
    <t>Handball</t>
  </si>
  <si>
    <t>Baseball</t>
  </si>
  <si>
    <t>Softball</t>
  </si>
  <si>
    <t>Double</t>
  </si>
  <si>
    <t>Time Trial</t>
  </si>
  <si>
    <t>Road</t>
  </si>
  <si>
    <t>Racing</t>
  </si>
  <si>
    <t>Team Racing</t>
  </si>
  <si>
    <t>Team Pursuit</t>
  </si>
  <si>
    <t>Dressing Individual</t>
  </si>
  <si>
    <t>Dressing Team</t>
  </si>
  <si>
    <t>Eventing Individual</t>
  </si>
  <si>
    <t>Eventing Team</t>
  </si>
  <si>
    <t>Jumping Individual</t>
  </si>
  <si>
    <t>Jumping Team</t>
  </si>
  <si>
    <t>Speed</t>
  </si>
  <si>
    <t>Épée Individual</t>
  </si>
  <si>
    <t>Foil Individual</t>
  </si>
  <si>
    <t>Sabre Individual</t>
  </si>
  <si>
    <t>Épée Team</t>
  </si>
  <si>
    <t>Foil Team</t>
  </si>
  <si>
    <t>Sabre Team</t>
  </si>
  <si>
    <t>Figures</t>
  </si>
  <si>
    <t>Leap</t>
  </si>
  <si>
    <t>Football</t>
  </si>
  <si>
    <t>All Around</t>
  </si>
  <si>
    <t>Floor Excercise</t>
  </si>
  <si>
    <t>Pommel Horse</t>
  </si>
  <si>
    <t>Rings</t>
  </si>
  <si>
    <t>Vault</t>
  </si>
  <si>
    <t>Parallel bars</t>
  </si>
  <si>
    <t>Horizontal Bar</t>
  </si>
  <si>
    <t>Uneven bars</t>
  </si>
  <si>
    <t>Balance beam</t>
  </si>
  <si>
    <t>Hoop</t>
  </si>
  <si>
    <t>Ball</t>
  </si>
  <si>
    <t>Clubs</t>
  </si>
  <si>
    <t>Ribbon</t>
  </si>
  <si>
    <t>Groups All Round</t>
  </si>
  <si>
    <t>5 hoops</t>
  </si>
  <si>
    <t>3 ribbons / 2 balls</t>
  </si>
  <si>
    <t>Synchronized</t>
  </si>
  <si>
    <t>Field Hockey</t>
  </si>
  <si>
    <t>-60 Kg</t>
  </si>
  <si>
    <t>Mixed Team</t>
  </si>
  <si>
    <t>Grecoroman 60 Kg</t>
  </si>
  <si>
    <t>Grecoroman 67 Kg</t>
  </si>
  <si>
    <t>Grecoroman 77 Kg</t>
  </si>
  <si>
    <t>Grecoroman 87 Kg</t>
  </si>
  <si>
    <t>Grecoroman 97 Kg</t>
  </si>
  <si>
    <t>Grecoroman 130 Kg</t>
  </si>
  <si>
    <t>Freestyle M 57 Kg</t>
  </si>
  <si>
    <t>Freestyle M 65 Kg</t>
  </si>
  <si>
    <t>Freestyle M 74 Kg</t>
  </si>
  <si>
    <t>Freestyle M 86 Kg</t>
  </si>
  <si>
    <t>Freestyle M 97 Kg</t>
  </si>
  <si>
    <t>Freestyle M 125 Kg</t>
  </si>
  <si>
    <t>Freestyle F 50 Kg</t>
  </si>
  <si>
    <t>Freestyle F 53 Kg</t>
  </si>
  <si>
    <t>Freestyle F 57 Kg</t>
  </si>
  <si>
    <t>Freestyle F 62 Kg</t>
  </si>
  <si>
    <t>Freestyle F 68 Kg</t>
  </si>
  <si>
    <t>Freestyle F 76 Kg</t>
  </si>
  <si>
    <t>Freestyle</t>
  </si>
  <si>
    <t>200m time trial</t>
  </si>
  <si>
    <t>500m + distance</t>
  </si>
  <si>
    <t>10000m Elimination</t>
  </si>
  <si>
    <t>1000M sprint</t>
  </si>
  <si>
    <t>Trinquet Doubles</t>
  </si>
  <si>
    <t>Paleta Gomme</t>
  </si>
  <si>
    <t>Frontenis -Dobles (Fronton)</t>
  </si>
  <si>
    <t>Relay</t>
  </si>
  <si>
    <t>Mixed relay</t>
  </si>
  <si>
    <t>Mixed 8+</t>
  </si>
  <si>
    <t>Poomsae Traditional Individual</t>
  </si>
  <si>
    <t>Poomsae Freestyle Pairs</t>
  </si>
  <si>
    <t>Recurve Individual</t>
  </si>
  <si>
    <t>Compound Individual</t>
  </si>
  <si>
    <t>Recurve Team</t>
  </si>
  <si>
    <t>Compound Team</t>
  </si>
  <si>
    <t>Recurve Mixed</t>
  </si>
  <si>
    <t>Compund Mixed</t>
  </si>
  <si>
    <t xml:space="preserve">50m rifle 3 positions </t>
  </si>
  <si>
    <t>10m air rifle</t>
  </si>
  <si>
    <t>10m air pistol</t>
  </si>
  <si>
    <t>25m rapid fire pístol</t>
  </si>
  <si>
    <t>25m pistol</t>
  </si>
  <si>
    <t>Mixed 10m air rifle</t>
  </si>
  <si>
    <t>Mixed 10m air pistol</t>
  </si>
  <si>
    <t>Mixed Skeet</t>
  </si>
  <si>
    <t>Windsurfing (IQFOIL)</t>
  </si>
  <si>
    <t>Dinghy (Ilca 7)</t>
  </si>
  <si>
    <t>Dinghy (Ilca 6)</t>
  </si>
  <si>
    <t>Sunfish</t>
  </si>
  <si>
    <t>Skiff (49er)</t>
  </si>
  <si>
    <t>Skiff (49er Fx)</t>
  </si>
  <si>
    <t>Mixed Multihull (Nacra 17)</t>
  </si>
  <si>
    <t>Mixed Dinghy (snipe)</t>
  </si>
  <si>
    <t>Mixed Dinghy (lightning)</t>
  </si>
  <si>
    <t>Volleyball</t>
  </si>
  <si>
    <t>Beach Volleyball</t>
  </si>
  <si>
    <t>Male</t>
  </si>
  <si>
    <t>Female</t>
  </si>
  <si>
    <t>Apellido</t>
  </si>
  <si>
    <t>Nombre</t>
  </si>
  <si>
    <t>Evento Deportivo</t>
  </si>
  <si>
    <t>Peso</t>
  </si>
  <si>
    <t>Estatura</t>
  </si>
  <si>
    <t>ID de Federación Internacional</t>
  </si>
  <si>
    <t>Ranking Mundial Individual</t>
  </si>
  <si>
    <t>Ranking Mundial Individual por puntos</t>
  </si>
  <si>
    <t>Ranking Mundial por Equipos</t>
  </si>
  <si>
    <t>Ranking Mundial por Equipos por Puntos</t>
  </si>
  <si>
    <t>Ranking Mundial por Equipos Mixtos</t>
  </si>
  <si>
    <t>Ranking Mundial por Equipos Mixtos por Puntos</t>
  </si>
  <si>
    <t>Mejor marca Personal</t>
  </si>
  <si>
    <t>Torneo en que se logró la Mejor marca Personal</t>
  </si>
  <si>
    <t>Mejor marca de la Temporada</t>
  </si>
  <si>
    <t>Torneo en que se logró la Mejor marca de la Temporada</t>
  </si>
  <si>
    <t>Marca de Casificación</t>
  </si>
  <si>
    <t>Torneo en que se logró la marca de Clasificación</t>
  </si>
  <si>
    <t>Mano preferida / Postura preferida</t>
  </si>
  <si>
    <t>Color uniforme primario</t>
  </si>
  <si>
    <t>Color uniforme secundario</t>
  </si>
  <si>
    <t>Número en uniforme</t>
  </si>
  <si>
    <t>Nombre en uniforme</t>
  </si>
  <si>
    <t>Posición de juego</t>
  </si>
  <si>
    <t>Capitan</t>
  </si>
  <si>
    <t>Nombre de club</t>
  </si>
  <si>
    <t>Liga del Club</t>
  </si>
  <si>
    <t>Participaciones internacionales</t>
  </si>
  <si>
    <t>Goles internacionales convertidos</t>
  </si>
  <si>
    <t>Family Name</t>
  </si>
  <si>
    <t>Given Name</t>
  </si>
  <si>
    <t>Gender</t>
  </si>
  <si>
    <t>Sport Event</t>
  </si>
  <si>
    <t>Weight</t>
  </si>
  <si>
    <t>Height</t>
  </si>
  <si>
    <t>FI ID Number</t>
  </si>
  <si>
    <t>World Rnk. Individual</t>
  </si>
  <si>
    <t>World Rnk. Individual Points</t>
  </si>
  <si>
    <t>World Rnk. Team</t>
  </si>
  <si>
    <t>World Rnk. Team Points</t>
  </si>
  <si>
    <t>World Rnk. Mixed Team</t>
  </si>
  <si>
    <t>World Rnk. Mixed Team Points</t>
  </si>
  <si>
    <t>Personal Best</t>
  </si>
  <si>
    <t>Personal Best Championship</t>
  </si>
  <si>
    <t>Season Best</t>
  </si>
  <si>
    <t>Season Best Championship</t>
  </si>
  <si>
    <t>Qualification Mark</t>
  </si>
  <si>
    <t>Qualification Mark Championship</t>
  </si>
  <si>
    <t>Preferred Hand/ Preferred Foot / Stance</t>
  </si>
  <si>
    <t>Uniform 1 Color</t>
  </si>
  <si>
    <t>Uniform 2 Color</t>
  </si>
  <si>
    <t>Uniform Number</t>
  </si>
  <si>
    <t>Uniform Name</t>
  </si>
  <si>
    <t>Playing Position</t>
  </si>
  <si>
    <t>Captain</t>
  </si>
  <si>
    <t>Club Name</t>
  </si>
  <si>
    <t>Club League</t>
  </si>
  <si>
    <t>International Games Played</t>
  </si>
  <si>
    <t>International Goals Scored</t>
  </si>
  <si>
    <t>Tiro con Arco</t>
  </si>
  <si>
    <t>Patinaje Artístico</t>
  </si>
  <si>
    <t>Atletísmo</t>
  </si>
  <si>
    <t>Bádminton</t>
  </si>
  <si>
    <t>Boxeo</t>
  </si>
  <si>
    <t>Bowling</t>
  </si>
  <si>
    <t>Escalada Deportiva</t>
  </si>
  <si>
    <t>Ciclismo de Ruta</t>
  </si>
  <si>
    <t>Canotaje Slalom</t>
  </si>
  <si>
    <t>Canotaje Velocidad</t>
  </si>
  <si>
    <t>Ciclismo de Pista</t>
  </si>
  <si>
    <t>Clavados</t>
  </si>
  <si>
    <t>Ecuestres</t>
  </si>
  <si>
    <t>Esgrima</t>
  </si>
  <si>
    <t>Gimnasia Artística</t>
  </si>
  <si>
    <t>Gimnasia Rítmica</t>
  </si>
  <si>
    <t>Gimnasia Trampolín</t>
  </si>
  <si>
    <t>Judo</t>
  </si>
  <si>
    <t>Karate</t>
  </si>
  <si>
    <t>Pentatlón Moderno</t>
  </si>
  <si>
    <t>Ciclismo de Montaña</t>
  </si>
  <si>
    <t>Nado Aguas Abiertas</t>
  </si>
  <si>
    <t>Pelota Vasca</t>
  </si>
  <si>
    <t>Remo</t>
  </si>
  <si>
    <t>Ráquetbol</t>
  </si>
  <si>
    <t>Vela</t>
  </si>
  <si>
    <t>Tiro</t>
  </si>
  <si>
    <t>Skateboarding</t>
  </si>
  <si>
    <t>Squash</t>
  </si>
  <si>
    <t>Surf</t>
  </si>
  <si>
    <t>Patinaje Velocidad</t>
  </si>
  <si>
    <t>Natación Artística</t>
  </si>
  <si>
    <t>Natación</t>
  </si>
  <si>
    <t>Tenis</t>
  </si>
  <si>
    <t>Taekwondo</t>
  </si>
  <si>
    <t>Triatlón</t>
  </si>
  <si>
    <t>Tenis de Mesa</t>
  </si>
  <si>
    <t>Levantamiento de Pesas</t>
  </si>
  <si>
    <t>Polo Acuatico</t>
  </si>
  <si>
    <t>Lucha</t>
  </si>
  <si>
    <t>eSports</t>
  </si>
  <si>
    <t>Datos Específicos para Sport Entries</t>
  </si>
  <si>
    <t>Datos del Atleta</t>
  </si>
  <si>
    <t>Archery</t>
  </si>
  <si>
    <t>Artistic Skating</t>
  </si>
  <si>
    <t>Athletics</t>
  </si>
  <si>
    <t>Badminton</t>
  </si>
  <si>
    <t>Boxing</t>
  </si>
  <si>
    <t>Sport Climbing</t>
  </si>
  <si>
    <t>Road Cycling</t>
  </si>
  <si>
    <t>Canoe Slalom</t>
  </si>
  <si>
    <t>Canoe Sprint</t>
  </si>
  <si>
    <t>Track Cycling</t>
  </si>
  <si>
    <t>Diving</t>
  </si>
  <si>
    <t>Equestrian</t>
  </si>
  <si>
    <t>Fencing</t>
  </si>
  <si>
    <t>Artistic Gymnastics</t>
  </si>
  <si>
    <t>Ryhtmic Gymnastics</t>
  </si>
  <si>
    <t>Trampoline Gymnastics</t>
  </si>
  <si>
    <t>Modern Pentathlon</t>
  </si>
  <si>
    <t>Mountain Bike</t>
  </si>
  <si>
    <t>Basque Pelota</t>
  </si>
  <si>
    <t>Rowing</t>
  </si>
  <si>
    <t>Racquetball</t>
  </si>
  <si>
    <t>Sailing</t>
  </si>
  <si>
    <t>Shooting</t>
  </si>
  <si>
    <t>Surfing</t>
  </si>
  <si>
    <t>Speed Skating</t>
  </si>
  <si>
    <t>Artistic Swimming</t>
  </si>
  <si>
    <t>Swimming</t>
  </si>
  <si>
    <t>Tennis</t>
  </si>
  <si>
    <t>Triathlon</t>
  </si>
  <si>
    <t>Table Tennis</t>
  </si>
  <si>
    <t>Weightlifting</t>
  </si>
  <si>
    <t>Wrestling</t>
  </si>
  <si>
    <t>Sport Entries Form</t>
  </si>
  <si>
    <t>Athlete's Data</t>
  </si>
  <si>
    <t xml:space="preserve">#
</t>
  </si>
  <si>
    <t>ARC</t>
  </si>
  <si>
    <t>ARS</t>
  </si>
  <si>
    <t>ATH</t>
  </si>
  <si>
    <t>BBL</t>
  </si>
  <si>
    <t>BDM</t>
  </si>
  <si>
    <t>BK3</t>
  </si>
  <si>
    <t>BKB</t>
  </si>
  <si>
    <t>BKG</t>
  </si>
  <si>
    <t>BMX</t>
  </si>
  <si>
    <t>BOX</t>
  </si>
  <si>
    <t>BWL</t>
  </si>
  <si>
    <t>CLB</t>
  </si>
  <si>
    <t>CRD</t>
  </si>
  <si>
    <t>CSL</t>
  </si>
  <si>
    <t>CSP</t>
  </si>
  <si>
    <t>CTR</t>
  </si>
  <si>
    <t>DIV</t>
  </si>
  <si>
    <t>EQU</t>
  </si>
  <si>
    <t>FBL</t>
  </si>
  <si>
    <t>FEN</t>
  </si>
  <si>
    <t>GAR</t>
  </si>
  <si>
    <t>GLF</t>
  </si>
  <si>
    <t>GRY</t>
  </si>
  <si>
    <t>GTR</t>
  </si>
  <si>
    <t>HBL</t>
  </si>
  <si>
    <t>HOC</t>
  </si>
  <si>
    <t>JUD</t>
  </si>
  <si>
    <t>KTE</t>
  </si>
  <si>
    <t>MPN</t>
  </si>
  <si>
    <t>MTB</t>
  </si>
  <si>
    <t>OWS</t>
  </si>
  <si>
    <t>PEL</t>
  </si>
  <si>
    <t>ROW</t>
  </si>
  <si>
    <t>RQL</t>
  </si>
  <si>
    <t>RUG</t>
  </si>
  <si>
    <t>SAL</t>
  </si>
  <si>
    <t>SBL</t>
  </si>
  <si>
    <t>SHO</t>
  </si>
  <si>
    <t>SKB</t>
  </si>
  <si>
    <t>SQU</t>
  </si>
  <si>
    <t>SRF</t>
  </si>
  <si>
    <t>SSK</t>
  </si>
  <si>
    <t>SWA</t>
  </si>
  <si>
    <t>SWM</t>
  </si>
  <si>
    <t>TEN</t>
  </si>
  <si>
    <t>TKW</t>
  </si>
  <si>
    <t>TRI</t>
  </si>
  <si>
    <t>TTE</t>
  </si>
  <si>
    <t>VBV</t>
  </si>
  <si>
    <t>VVO</t>
  </si>
  <si>
    <t>WLF</t>
  </si>
  <si>
    <t>WPO</t>
  </si>
  <si>
    <t>WRE</t>
  </si>
  <si>
    <t>WSK</t>
  </si>
  <si>
    <t>GENERO</t>
  </si>
  <si>
    <t>DOTA2</t>
  </si>
  <si>
    <t>eFootball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</si>
</sst>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7">
    <font>
      <sz val="10.0"/>
      <color rgb="FF000000"/>
      <name val="Arial"/>
      <scheme val="minor"/>
    </font>
    <font>
      <sz val="10.0"/>
      <color theme="1"/>
      <name val="Calibri"/>
    </font>
    <font>
      <u/>
      <sz val="10.0"/>
      <color theme="10"/>
      <name val="Calibri"/>
    </font>
    <font>
      <color theme="1"/>
      <name val="Arial"/>
      <scheme val="minor"/>
    </font>
    <font>
      <sz val="10.0"/>
      <color rgb="FF202B5A"/>
      <name val="Calibri"/>
    </font>
    <font>
      <u/>
      <sz val="10.0"/>
      <color rgb="FF202B5A"/>
      <name val="Calibri"/>
    </font>
    <font>
      <b/>
      <sz val="16.0"/>
      <color rgb="FF0074FF"/>
      <name val="Calibri"/>
    </font>
    <font>
      <b/>
      <sz val="14.0"/>
      <color rgb="FF202B5A"/>
      <name val="Calibri"/>
    </font>
    <font>
      <b/>
      <sz val="10.0"/>
      <color rgb="FFFF0000"/>
      <name val="Calibri"/>
    </font>
    <font>
      <b/>
      <sz val="24.0"/>
      <color rgb="FF0074FF"/>
      <name val="Calibri"/>
    </font>
    <font>
      <b/>
      <sz val="22.0"/>
      <color rgb="FF202B5A"/>
      <name val="Calibri"/>
    </font>
    <font/>
    <font>
      <b/>
      <sz val="12.0"/>
      <color rgb="FF202B5A"/>
      <name val="Calibri"/>
    </font>
    <font>
      <sz val="11.0"/>
      <color theme="1"/>
      <name val="Arial Narrow"/>
    </font>
    <font>
      <b/>
      <sz val="10.0"/>
      <color theme="0"/>
      <name val="Calibri"/>
    </font>
    <font>
      <sz val="10.0"/>
      <color rgb="FFFF0000"/>
      <name val="Calibri"/>
    </font>
    <font>
      <sz val="10.0"/>
      <color theme="1"/>
      <name val="Arial"/>
    </font>
  </fonts>
  <fills count="5">
    <fill>
      <patternFill patternType="none"/>
    </fill>
    <fill>
      <patternFill patternType="lightGray"/>
    </fill>
    <fill>
      <patternFill patternType="solid">
        <fgColor rgb="FFD2F0FE"/>
        <bgColor rgb="FFD2F0FE"/>
      </patternFill>
    </fill>
    <fill>
      <patternFill patternType="solid">
        <fgColor rgb="FFFE4F3A"/>
        <bgColor rgb="FFFE4F3A"/>
      </patternFill>
    </fill>
    <fill>
      <patternFill patternType="solid">
        <fgColor rgb="FFE9ECF7"/>
        <bgColor rgb="FFE9ECF7"/>
      </patternFill>
    </fill>
  </fills>
  <borders count="3">
    <border/>
    <border>
      <bottom style="thick">
        <color rgb="FF0074FF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center"/>
    </xf>
    <xf borderId="0" fillId="0" fontId="2" numFmtId="0" xfId="0" applyAlignment="1" applyFont="1">
      <alignment horizontal="left" vertical="center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readingOrder="0" vertical="center"/>
    </xf>
    <xf borderId="0" fillId="0" fontId="3" numFmtId="0" xfId="0" applyAlignment="1" applyFont="1">
      <alignment readingOrder="0"/>
    </xf>
    <xf borderId="0" fillId="0" fontId="4" numFmtId="0" xfId="0" applyAlignment="1" applyFont="1">
      <alignment vertical="center"/>
    </xf>
    <xf borderId="0" fillId="0" fontId="5" numFmtId="0" xfId="0" applyAlignment="1" applyFont="1">
      <alignment horizontal="left" vertical="center"/>
    </xf>
    <xf borderId="0" fillId="0" fontId="4" numFmtId="0" xfId="0" applyAlignment="1" applyFont="1">
      <alignment horizontal="left" vertical="center"/>
    </xf>
    <xf borderId="0" fillId="0" fontId="4" numFmtId="0" xfId="0" applyAlignment="1" applyFont="1">
      <alignment readingOrder="0" vertical="center"/>
    </xf>
    <xf borderId="0" fillId="0" fontId="6" numFmtId="0" xfId="0" applyAlignment="1" applyFont="1">
      <alignment horizontal="left" shrinkToFit="0" vertical="center" wrapText="0"/>
    </xf>
    <xf borderId="0" fillId="0" fontId="7" numFmtId="0" xfId="0" applyAlignment="1" applyFont="1">
      <alignment vertical="center"/>
    </xf>
    <xf borderId="0" fillId="0" fontId="8" numFmtId="0" xfId="0" applyAlignment="1" applyFont="1">
      <alignment horizontal="left"/>
    </xf>
    <xf borderId="0" fillId="0" fontId="9" numFmtId="0" xfId="0" applyAlignment="1" applyFont="1">
      <alignment horizontal="left" vertical="center"/>
    </xf>
    <xf borderId="0" fillId="0" fontId="10" numFmtId="0" xfId="0" applyAlignment="1" applyFont="1">
      <alignment vertical="center"/>
    </xf>
    <xf borderId="1" fillId="0" fontId="11" numFmtId="0" xfId="0" applyBorder="1" applyFont="1"/>
    <xf borderId="0" fillId="0" fontId="12" numFmtId="0" xfId="0" applyAlignment="1" applyFont="1">
      <alignment vertical="top"/>
    </xf>
    <xf borderId="0" fillId="0" fontId="12" numFmtId="0" xfId="0" applyAlignment="1" applyFont="1">
      <alignment vertical="center"/>
    </xf>
    <xf borderId="2" fillId="2" fontId="13" numFmtId="0" xfId="0" applyAlignment="1" applyBorder="1" applyFill="1" applyFont="1">
      <alignment horizontal="center" readingOrder="0" vertical="center"/>
    </xf>
    <xf borderId="2" fillId="3" fontId="14" numFmtId="0" xfId="0" applyAlignment="1" applyBorder="1" applyFill="1" applyFont="1">
      <alignment horizontal="center" shrinkToFit="0" wrapText="1"/>
    </xf>
    <xf borderId="2" fillId="3" fontId="14" numFmtId="0" xfId="0" applyAlignment="1" applyBorder="1" applyFont="1">
      <alignment horizontal="center" shrinkToFit="0" vertical="center" wrapText="1"/>
    </xf>
    <xf borderId="0" fillId="0" fontId="15" numFmtId="0" xfId="0" applyAlignment="1" applyFont="1">
      <alignment vertical="center"/>
    </xf>
    <xf borderId="2" fillId="0" fontId="1" numFmtId="0" xfId="0" applyAlignment="1" applyBorder="1" applyFont="1">
      <alignment horizontal="center" vertical="center"/>
    </xf>
    <xf borderId="2" fillId="0" fontId="8" numFmtId="0" xfId="0" applyAlignment="1" applyBorder="1" applyFont="1">
      <alignment horizontal="left" vertical="center"/>
    </xf>
    <xf borderId="2" fillId="4" fontId="4" numFmtId="0" xfId="0" applyAlignment="1" applyBorder="1" applyFill="1" applyFont="1">
      <alignment horizontal="center" readingOrder="0" vertical="center"/>
    </xf>
    <xf borderId="2" fillId="4" fontId="1" numFmtId="0" xfId="0" applyAlignment="1" applyBorder="1" applyFont="1">
      <alignment horizontal="center" vertical="center"/>
    </xf>
    <xf borderId="2" fillId="4" fontId="4" numFmtId="0" xfId="0" applyAlignment="1" applyBorder="1" applyFont="1">
      <alignment horizontal="left" vertical="center"/>
    </xf>
    <xf borderId="2" fillId="4" fontId="4" numFmtId="0" xfId="0" applyAlignment="1" applyBorder="1" applyFont="1">
      <alignment horizontal="center" vertical="center"/>
    </xf>
    <xf borderId="2" fillId="0" fontId="4" numFmtId="0" xfId="0" applyAlignment="1" applyBorder="1" applyFont="1">
      <alignment horizontal="left" vertical="center"/>
    </xf>
    <xf borderId="2" fillId="0" fontId="4" numFmtId="0" xfId="0" applyAlignment="1" applyBorder="1" applyFont="1">
      <alignment horizontal="center" vertical="center"/>
    </xf>
    <xf borderId="2" fillId="0" fontId="4" numFmtId="0" xfId="0" applyAlignment="1" applyBorder="1" applyFont="1">
      <alignment horizontal="center" readingOrder="0" vertical="center"/>
    </xf>
    <xf borderId="0" fillId="0" fontId="16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1114425</xdr:colOff>
      <xdr:row>0</xdr:row>
      <xdr:rowOff>161925</xdr:rowOff>
    </xdr:from>
    <xdr:ext cx="1885950" cy="1114425"/>
    <xdr:grpSp>
      <xdr:nvGrpSpPr>
        <xdr:cNvPr id="2" name="Shape 2" title="Dibujo"/>
        <xdr:cNvGrpSpPr/>
      </xdr:nvGrpSpPr>
      <xdr:grpSpPr>
        <a:xfrm>
          <a:off x="4403025" y="3232313"/>
          <a:ext cx="1885950" cy="1095375"/>
          <a:chOff x="4403025" y="3232313"/>
          <a:chExt cx="1885950" cy="1095375"/>
        </a:xfrm>
      </xdr:grpSpPr>
      <xdr:grpSp>
        <xdr:nvGrpSpPr>
          <xdr:cNvPr id="3" name="Shape 3" title="Drawing"/>
          <xdr:cNvGrpSpPr/>
        </xdr:nvGrpSpPr>
        <xdr:grpSpPr>
          <a:xfrm>
            <a:off x="4403025" y="3232313"/>
            <a:ext cx="1885950" cy="1095375"/>
            <a:chOff x="4403025" y="3146588"/>
            <a:chExt cx="1885950" cy="1266825"/>
          </a:xfrm>
        </xdr:grpSpPr>
        <xdr:sp>
          <xdr:nvSpPr>
            <xdr:cNvPr id="4" name="Shape 4"/>
            <xdr:cNvSpPr/>
          </xdr:nvSpPr>
          <xdr:spPr>
            <a:xfrm>
              <a:off x="4403025" y="3146588"/>
              <a:ext cx="1885950" cy="12668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5" name="Shape 5"/>
            <xdr:cNvGrpSpPr/>
          </xdr:nvGrpSpPr>
          <xdr:grpSpPr>
            <a:xfrm>
              <a:off x="4403025" y="3146588"/>
              <a:ext cx="1885950" cy="1266825"/>
              <a:chOff x="10561320" y="0"/>
              <a:chExt cx="2132896" cy="1404225"/>
            </a:xfrm>
          </xdr:grpSpPr>
          <xdr:sp>
            <xdr:nvSpPr>
              <xdr:cNvPr id="6" name="Shape 6"/>
              <xdr:cNvSpPr/>
            </xdr:nvSpPr>
            <xdr:spPr>
              <a:xfrm>
                <a:off x="10561320" y="0"/>
                <a:ext cx="2132875" cy="14042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7" name="Shape 7"/>
              <xdr:cNvPicPr preferRelativeResize="0"/>
            </xdr:nvPicPr>
            <xdr:blipFill rotWithShape="1">
              <a:blip r:embed="rId1">
                <a:alphaModFix/>
              </a:blip>
              <a:srcRect b="0" l="0" r="0" t="0"/>
              <a:stretch/>
            </xdr:blipFill>
            <xdr:spPr>
              <a:xfrm>
                <a:off x="10561320" y="0"/>
                <a:ext cx="1440180" cy="1404225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8" name="Shape 8"/>
              <xdr:cNvPicPr preferRelativeResize="0"/>
            </xdr:nvPicPr>
            <xdr:blipFill rotWithShape="1">
              <a:blip r:embed="rId2">
                <a:alphaModFix/>
              </a:blip>
              <a:srcRect b="0" l="0" r="0" t="0"/>
              <a:stretch/>
            </xdr:blipFill>
            <xdr:spPr>
              <a:xfrm>
                <a:off x="11986964" y="228600"/>
                <a:ext cx="707252" cy="92202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152400</xdr:colOff>
      <xdr:row>0</xdr:row>
      <xdr:rowOff>161925</xdr:rowOff>
    </xdr:from>
    <xdr:ext cx="1143000" cy="1114425"/>
    <xdr:pic>
      <xdr:nvPicPr>
        <xdr:cNvPr id="0" name="image3.png" title="Imagen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1.38"/>
    <col customWidth="1" min="2" max="2" width="3.88"/>
    <col customWidth="1" min="3" max="3" width="16.13"/>
    <col customWidth="1" min="4" max="4" width="40.63"/>
    <col customWidth="1" min="5" max="5" width="7.75"/>
    <col customWidth="1" min="6" max="6" width="38.88"/>
    <col customWidth="1" min="7" max="7" width="7.38"/>
    <col customWidth="1" hidden="1" min="8" max="18" width="7.38"/>
    <col customWidth="1" hidden="1" min="19" max="20" width="18.75"/>
    <col customWidth="1" hidden="1" min="21" max="21" width="20.25"/>
    <col customWidth="1" hidden="1" min="22" max="22" width="22.63"/>
    <col customWidth="1" hidden="1" min="23" max="23" width="23.75"/>
    <col customWidth="1" hidden="1" min="24" max="35" width="14.13"/>
    <col customWidth="1" hidden="1" min="36" max="37" width="21.25"/>
    <col customWidth="1" hidden="1" min="38" max="39" width="19.13"/>
    <col customWidth="1" hidden="1" min="40" max="40" width="21.0"/>
    <col customWidth="1" hidden="1" min="41" max="41" width="24.0"/>
    <col customWidth="1" hidden="1" min="42" max="42" width="25.5"/>
    <col customWidth="1" hidden="1" min="43" max="44" width="20.13"/>
    <col customWidth="1" hidden="1" min="45" max="45" width="17.38"/>
    <col customWidth="1" hidden="1" min="46" max="46" width="18.25"/>
    <col customWidth="1" hidden="1" min="47" max="53" width="13.63"/>
    <col customWidth="1" hidden="1" min="54" max="54" width="14.0"/>
    <col customWidth="1" hidden="1" min="55" max="55" width="13.63"/>
    <col customWidth="1" hidden="1" min="56" max="56" width="16.25"/>
    <col customWidth="1" hidden="1" min="57" max="59" width="13.63"/>
    <col customWidth="1" hidden="1" min="60" max="60" width="14.0"/>
    <col customWidth="1" hidden="1" min="61" max="61" width="13.63"/>
    <col customWidth="1" hidden="1" min="62" max="62" width="14.13"/>
    <col customWidth="1" hidden="1" min="63" max="63" width="16.63"/>
    <col customWidth="1" hidden="1" min="64" max="64" width="17.5"/>
    <col customWidth="1" hidden="1" min="65" max="65" width="19.5"/>
    <col customWidth="1" hidden="1" min="66" max="66" width="18.75"/>
    <col customWidth="1" hidden="1" min="67" max="70" width="13.63"/>
    <col customWidth="1" hidden="1" min="71" max="71" width="16.0"/>
    <col customWidth="1" hidden="1" min="72" max="72" width="13.63"/>
    <col customWidth="1" hidden="1" min="73" max="75" width="15.38"/>
    <col customWidth="1" hidden="1" min="76" max="76" width="14.88"/>
    <col customWidth="1" hidden="1" min="77" max="77" width="17.88"/>
    <col customWidth="1" hidden="1" min="78" max="78" width="14.88"/>
    <col customWidth="1" hidden="1" min="79" max="79" width="11.63"/>
    <col customWidth="1" hidden="1" min="80" max="80" width="11.38"/>
    <col customWidth="1" hidden="1" min="81" max="82" width="12.88"/>
    <col customWidth="1" hidden="1" min="83" max="95" width="11.13"/>
    <col customWidth="1" hidden="1" min="96" max="96" width="13.0"/>
    <col customWidth="1" hidden="1" min="97" max="106" width="21.5"/>
    <col customWidth="1" hidden="1" min="107" max="109" width="19.13"/>
    <col customWidth="1" hidden="1" min="110" max="110" width="25.13"/>
    <col customWidth="1" hidden="1" min="111" max="111" width="23.38"/>
    <col customWidth="1" hidden="1" min="112" max="112" width="25.38"/>
    <col customWidth="1" hidden="1" min="113" max="114" width="17.63"/>
    <col customWidth="1" hidden="1" min="115" max="120" width="17.5"/>
    <col customWidth="1" hidden="1" min="121" max="122" width="25.75"/>
    <col customWidth="1" hidden="1" min="123" max="124" width="26.88"/>
    <col customWidth="1" hidden="1" min="125" max="126" width="17.38"/>
    <col customWidth="1" hidden="1" min="127" max="128" width="20.38"/>
    <col customWidth="1" hidden="1" min="129" max="129" width="14.13"/>
    <col customWidth="1" hidden="1" min="130" max="130" width="13.75"/>
    <col customWidth="1" hidden="1" min="131" max="131" width="13.0"/>
    <col customWidth="1" hidden="1" min="132" max="132" width="13.13"/>
    <col customWidth="1" hidden="1" min="133" max="133" width="12.63"/>
    <col customWidth="1" hidden="1" min="134" max="134" width="12.25"/>
    <col customWidth="1" hidden="1" min="135" max="139" width="17.75"/>
    <col customWidth="1" hidden="1" min="140" max="140" width="10.88"/>
    <col customWidth="1" hidden="1" min="141" max="150" width="21.13"/>
    <col customWidth="1" hidden="1" min="151" max="158" width="20.38"/>
    <col customWidth="1" hidden="1" min="159" max="160" width="22.25"/>
    <col customWidth="1" hidden="1" min="161" max="161" width="9.38"/>
    <col customWidth="1" hidden="1" min="162" max="162" width="18.13"/>
    <col customWidth="1" hidden="1" min="163" max="176" width="9.88"/>
    <col customWidth="1" hidden="1" min="177" max="177" width="11.13"/>
    <col customWidth="1" hidden="1" min="178" max="181" width="11.5"/>
    <col customWidth="1" hidden="1" min="182" max="182" width="12.0"/>
    <col customWidth="1" hidden="1" min="183" max="185" width="11.5"/>
    <col customWidth="1" hidden="1" min="186" max="187" width="12.0"/>
    <col customWidth="1" hidden="1" min="188" max="188" width="11.0"/>
    <col customWidth="1" hidden="1" min="189" max="198" width="24.63"/>
    <col customWidth="1" hidden="1" min="199" max="203" width="16.0"/>
    <col customWidth="1" hidden="1" min="204" max="204" width="16.88"/>
    <col customWidth="1" hidden="1" min="205" max="209" width="14.5"/>
    <col customWidth="1" hidden="1" min="210" max="210" width="15.5"/>
    <col customWidth="1" hidden="1" min="211" max="216" width="14.13"/>
    <col customWidth="1" hidden="1" min="217" max="217" width="19.0"/>
    <col customWidth="1" hidden="1" min="218" max="221" width="19.75"/>
    <col customWidth="1" hidden="1" min="222" max="223" width="17.0"/>
    <col customWidth="1" hidden="1" min="224" max="224" width="24.88"/>
    <col customWidth="1" hidden="1" min="225" max="225" width="26.63"/>
    <col customWidth="1" hidden="1" min="226" max="226" width="21.5"/>
    <col customWidth="1" hidden="1" min="227" max="227" width="15.38"/>
    <col customWidth="1" hidden="1" min="228" max="230" width="21.75"/>
    <col customWidth="1" hidden="1" min="231" max="234" width="14.13"/>
    <col customWidth="1" hidden="1" min="235" max="247" width="11.63"/>
    <col customWidth="1" hidden="1" min="248" max="248" width="12.75"/>
    <col customWidth="1" hidden="1" min="249" max="252" width="12.13"/>
    <col customWidth="1" hidden="1" min="253" max="256" width="9.25"/>
    <col customWidth="1" hidden="1" min="257" max="264" width="15.5"/>
    <col customWidth="1" hidden="1" min="265" max="265" width="24.13"/>
    <col customWidth="1" hidden="1" min="266" max="266" width="19.63"/>
    <col customWidth="1" hidden="1" min="267" max="268" width="10.25"/>
    <col customWidth="1" hidden="1" min="269" max="269" width="11.75"/>
    <col customWidth="1" hidden="1" min="270" max="273" width="16.75"/>
    <col customWidth="1" hidden="1" min="274" max="274" width="15.25"/>
    <col customWidth="1" hidden="1" min="275" max="275" width="17.0"/>
    <col customWidth="1" hidden="1" min="276" max="277" width="15.25"/>
    <col customWidth="1" hidden="1" min="278" max="278" width="17.25"/>
    <col customWidth="1" hidden="1" min="279" max="279" width="19.63"/>
    <col customWidth="1" hidden="1" min="280" max="280" width="18.0"/>
    <col customWidth="1" hidden="1" min="281" max="281" width="14.0"/>
    <col customWidth="1" hidden="1" min="282" max="282" width="15.75"/>
    <col customWidth="1" hidden="1" min="283" max="283" width="23.25"/>
    <col customWidth="1" hidden="1" min="284" max="284" width="17.25"/>
    <col customWidth="1" hidden="1" min="285" max="286" width="9.63"/>
    <col customWidth="1" hidden="1" min="287" max="287" width="18.5"/>
    <col customWidth="1" hidden="1" min="288" max="288" width="20.13"/>
    <col customWidth="1" hidden="1" min="289" max="289" width="10.13"/>
    <col customWidth="1" hidden="1" min="290" max="290" width="11.5"/>
    <col customWidth="1" hidden="1" min="291" max="291" width="12.25"/>
    <col customWidth="1" hidden="1" min="292" max="292" width="16.88"/>
    <col customWidth="1" hidden="1" min="293" max="294" width="11.75"/>
    <col customWidth="1" hidden="1" min="295" max="295" width="11.5"/>
    <col customWidth="1" hidden="1" min="296" max="296" width="9.38"/>
    <col customWidth="1" hidden="1" min="297" max="297" width="11.63"/>
    <col customWidth="1" hidden="1" min="298" max="298" width="14.38"/>
    <col customWidth="1" hidden="1" min="299" max="299" width="22.0"/>
    <col customWidth="1" hidden="1" min="300" max="300" width="16.63"/>
    <col customWidth="1" hidden="1" min="301" max="301" width="18.88"/>
    <col customWidth="1" hidden="1" min="302" max="302" width="12.88"/>
    <col customWidth="1" hidden="1" min="303" max="305" width="16.88"/>
  </cols>
  <sheetData>
    <row r="1" ht="13.5" customHeight="1">
      <c r="A1" s="1"/>
      <c r="B1" s="2"/>
      <c r="D1" s="1"/>
      <c r="E1" s="3"/>
      <c r="F1" s="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4">
        <v>1.0</v>
      </c>
      <c r="S1" s="5">
        <v>2.0</v>
      </c>
      <c r="T1" s="5">
        <v>3.0</v>
      </c>
      <c r="U1" s="4">
        <v>4.0</v>
      </c>
      <c r="V1" s="5">
        <v>5.0</v>
      </c>
      <c r="W1" s="5">
        <v>6.0</v>
      </c>
      <c r="X1" s="4">
        <v>7.0</v>
      </c>
      <c r="Y1" s="5">
        <v>8.0</v>
      </c>
      <c r="Z1" s="5">
        <v>9.0</v>
      </c>
      <c r="AA1" s="4">
        <v>10.0</v>
      </c>
      <c r="AB1" s="5">
        <v>11.0</v>
      </c>
      <c r="AC1" s="5">
        <v>12.0</v>
      </c>
      <c r="AD1" s="4">
        <v>13.0</v>
      </c>
      <c r="AE1" s="5">
        <v>14.0</v>
      </c>
      <c r="AF1" s="5">
        <v>15.0</v>
      </c>
      <c r="AG1" s="4">
        <v>16.0</v>
      </c>
      <c r="AH1" s="5">
        <v>17.0</v>
      </c>
      <c r="AI1" s="5">
        <v>18.0</v>
      </c>
      <c r="AJ1" s="4">
        <v>19.0</v>
      </c>
      <c r="AK1" s="5">
        <v>20.0</v>
      </c>
      <c r="AL1" s="5">
        <v>21.0</v>
      </c>
      <c r="AM1" s="4">
        <v>22.0</v>
      </c>
      <c r="AN1" s="5">
        <v>23.0</v>
      </c>
      <c r="AO1" s="5">
        <v>24.0</v>
      </c>
      <c r="AP1" s="4">
        <v>25.0</v>
      </c>
      <c r="AQ1" s="5">
        <v>26.0</v>
      </c>
      <c r="AR1" s="5">
        <v>27.0</v>
      </c>
      <c r="AS1" s="4">
        <v>28.0</v>
      </c>
      <c r="AT1" s="5">
        <v>29.0</v>
      </c>
      <c r="AU1" s="5">
        <v>30.0</v>
      </c>
      <c r="AV1" s="4">
        <v>31.0</v>
      </c>
      <c r="AW1" s="5">
        <v>32.0</v>
      </c>
      <c r="AX1" s="5">
        <v>33.0</v>
      </c>
      <c r="AY1" s="4">
        <v>34.0</v>
      </c>
      <c r="AZ1" s="5">
        <v>35.0</v>
      </c>
      <c r="BA1" s="5">
        <v>36.0</v>
      </c>
      <c r="BB1" s="4">
        <v>37.0</v>
      </c>
      <c r="BC1" s="5">
        <v>38.0</v>
      </c>
      <c r="BD1" s="5">
        <v>39.0</v>
      </c>
      <c r="BE1" s="4">
        <v>40.0</v>
      </c>
      <c r="BF1" s="5">
        <v>41.0</v>
      </c>
      <c r="BG1" s="5">
        <v>42.0</v>
      </c>
      <c r="BH1" s="4">
        <v>43.0</v>
      </c>
      <c r="BI1" s="5">
        <v>44.0</v>
      </c>
      <c r="BJ1" s="5">
        <v>45.0</v>
      </c>
      <c r="BK1" s="4">
        <v>46.0</v>
      </c>
      <c r="BL1" s="5">
        <v>47.0</v>
      </c>
      <c r="BM1" s="5">
        <v>48.0</v>
      </c>
      <c r="BN1" s="4">
        <v>49.0</v>
      </c>
      <c r="BO1" s="5">
        <v>50.0</v>
      </c>
      <c r="BP1" s="5">
        <v>51.0</v>
      </c>
      <c r="BQ1" s="4">
        <v>52.0</v>
      </c>
      <c r="BR1" s="5">
        <v>53.0</v>
      </c>
      <c r="BS1" s="5">
        <v>54.0</v>
      </c>
      <c r="BT1" s="4">
        <v>55.0</v>
      </c>
      <c r="BU1" s="5">
        <v>56.0</v>
      </c>
      <c r="BV1" s="5">
        <v>57.0</v>
      </c>
      <c r="BW1" s="4">
        <v>58.0</v>
      </c>
      <c r="BX1" s="5">
        <v>59.0</v>
      </c>
      <c r="BY1" s="5">
        <v>60.0</v>
      </c>
      <c r="BZ1" s="4">
        <v>61.0</v>
      </c>
      <c r="CA1" s="5">
        <v>62.0</v>
      </c>
      <c r="CB1" s="5">
        <v>63.0</v>
      </c>
      <c r="CC1" s="4">
        <v>64.0</v>
      </c>
      <c r="CD1" s="5">
        <v>65.0</v>
      </c>
      <c r="CE1" s="5">
        <v>66.0</v>
      </c>
      <c r="CF1" s="4">
        <v>67.0</v>
      </c>
      <c r="CG1" s="5">
        <v>68.0</v>
      </c>
      <c r="CH1" s="5">
        <v>69.0</v>
      </c>
      <c r="CI1" s="4">
        <v>70.0</v>
      </c>
      <c r="CJ1" s="5">
        <v>71.0</v>
      </c>
      <c r="CK1" s="5">
        <v>72.0</v>
      </c>
      <c r="CL1" s="4">
        <v>73.0</v>
      </c>
      <c r="CM1" s="5">
        <v>74.0</v>
      </c>
      <c r="CN1" s="5">
        <v>75.0</v>
      </c>
      <c r="CO1" s="4">
        <v>76.0</v>
      </c>
      <c r="CP1" s="5">
        <v>77.0</v>
      </c>
      <c r="CQ1" s="5">
        <v>78.0</v>
      </c>
      <c r="CR1" s="4">
        <v>79.0</v>
      </c>
      <c r="CS1" s="5">
        <v>80.0</v>
      </c>
      <c r="CT1" s="5">
        <v>81.0</v>
      </c>
      <c r="CU1" s="4">
        <v>82.0</v>
      </c>
      <c r="CV1" s="5">
        <v>83.0</v>
      </c>
      <c r="CW1" s="5">
        <v>84.0</v>
      </c>
      <c r="CX1" s="4">
        <v>85.0</v>
      </c>
      <c r="CY1" s="5">
        <v>86.0</v>
      </c>
      <c r="CZ1" s="5">
        <v>87.0</v>
      </c>
      <c r="DA1" s="4">
        <v>88.0</v>
      </c>
      <c r="DB1" s="5">
        <v>89.0</v>
      </c>
      <c r="DC1" s="5">
        <v>90.0</v>
      </c>
      <c r="DD1" s="4">
        <v>91.0</v>
      </c>
      <c r="DE1" s="5">
        <v>92.0</v>
      </c>
      <c r="DF1" s="5">
        <v>93.0</v>
      </c>
      <c r="DG1" s="4">
        <v>94.0</v>
      </c>
      <c r="DH1" s="5">
        <v>95.0</v>
      </c>
      <c r="DI1" s="5">
        <v>96.0</v>
      </c>
      <c r="DJ1" s="4">
        <v>97.0</v>
      </c>
      <c r="DK1" s="5">
        <v>98.0</v>
      </c>
      <c r="DL1" s="5">
        <v>99.0</v>
      </c>
      <c r="DM1" s="4">
        <v>100.0</v>
      </c>
      <c r="DN1" s="5">
        <v>101.0</v>
      </c>
      <c r="DO1" s="5">
        <v>102.0</v>
      </c>
      <c r="DP1" s="4">
        <v>103.0</v>
      </c>
      <c r="DQ1" s="5">
        <v>104.0</v>
      </c>
      <c r="DR1" s="5">
        <v>105.0</v>
      </c>
      <c r="DS1" s="4">
        <v>106.0</v>
      </c>
      <c r="DT1" s="5">
        <v>107.0</v>
      </c>
      <c r="DU1" s="5">
        <v>108.0</v>
      </c>
      <c r="DV1" s="4">
        <v>109.0</v>
      </c>
      <c r="DW1" s="5">
        <v>110.0</v>
      </c>
      <c r="DX1" s="5">
        <v>111.0</v>
      </c>
      <c r="DY1" s="4">
        <v>112.0</v>
      </c>
      <c r="DZ1" s="5">
        <v>113.0</v>
      </c>
      <c r="EA1" s="5">
        <v>114.0</v>
      </c>
      <c r="EB1" s="4">
        <v>115.0</v>
      </c>
      <c r="EC1" s="5">
        <v>116.0</v>
      </c>
      <c r="ED1" s="5">
        <v>117.0</v>
      </c>
      <c r="EE1" s="4">
        <v>118.0</v>
      </c>
      <c r="EF1" s="5">
        <v>119.0</v>
      </c>
      <c r="EG1" s="5">
        <v>120.0</v>
      </c>
      <c r="EH1" s="4">
        <v>121.0</v>
      </c>
      <c r="EI1" s="5">
        <v>122.0</v>
      </c>
      <c r="EJ1" s="5">
        <v>123.0</v>
      </c>
      <c r="EK1" s="4">
        <v>124.0</v>
      </c>
      <c r="EL1" s="5">
        <v>125.0</v>
      </c>
      <c r="EM1" s="5">
        <v>126.0</v>
      </c>
      <c r="EN1" s="4">
        <v>127.0</v>
      </c>
      <c r="EO1" s="5">
        <v>128.0</v>
      </c>
      <c r="EP1" s="5">
        <v>129.0</v>
      </c>
      <c r="EQ1" s="4">
        <v>130.0</v>
      </c>
      <c r="ER1" s="5">
        <v>131.0</v>
      </c>
      <c r="ES1" s="5">
        <v>132.0</v>
      </c>
      <c r="ET1" s="4">
        <v>133.0</v>
      </c>
      <c r="EU1" s="5">
        <v>134.0</v>
      </c>
      <c r="EV1" s="5">
        <v>135.0</v>
      </c>
      <c r="EW1" s="4">
        <v>136.0</v>
      </c>
      <c r="EX1" s="5">
        <v>137.0</v>
      </c>
      <c r="EY1" s="5">
        <v>138.0</v>
      </c>
      <c r="EZ1" s="4">
        <v>139.0</v>
      </c>
      <c r="FA1" s="5">
        <v>140.0</v>
      </c>
      <c r="FB1" s="5">
        <v>141.0</v>
      </c>
      <c r="FC1" s="4">
        <v>142.0</v>
      </c>
      <c r="FD1" s="5">
        <v>143.0</v>
      </c>
      <c r="FE1" s="5">
        <v>144.0</v>
      </c>
      <c r="FF1" s="4">
        <v>145.0</v>
      </c>
      <c r="FG1" s="5">
        <v>146.0</v>
      </c>
      <c r="FH1" s="5">
        <v>147.0</v>
      </c>
      <c r="FI1" s="4">
        <v>148.0</v>
      </c>
      <c r="FJ1" s="5">
        <v>149.0</v>
      </c>
      <c r="FK1" s="5">
        <v>150.0</v>
      </c>
      <c r="FL1" s="4">
        <v>151.0</v>
      </c>
      <c r="FM1" s="5">
        <v>152.0</v>
      </c>
      <c r="FN1" s="5">
        <v>153.0</v>
      </c>
      <c r="FO1" s="4">
        <v>154.0</v>
      </c>
      <c r="FP1" s="5">
        <v>155.0</v>
      </c>
      <c r="FQ1" s="5">
        <v>156.0</v>
      </c>
      <c r="FR1" s="4">
        <v>157.0</v>
      </c>
      <c r="FS1" s="5">
        <v>158.0</v>
      </c>
      <c r="FT1" s="5">
        <v>159.0</v>
      </c>
      <c r="FU1" s="4">
        <v>160.0</v>
      </c>
      <c r="FV1" s="5">
        <v>161.0</v>
      </c>
      <c r="FW1" s="5">
        <v>162.0</v>
      </c>
      <c r="FX1" s="4">
        <v>163.0</v>
      </c>
      <c r="FY1" s="5">
        <v>164.0</v>
      </c>
      <c r="FZ1" s="5">
        <v>165.0</v>
      </c>
      <c r="GA1" s="4">
        <v>166.0</v>
      </c>
      <c r="GB1" s="5">
        <v>167.0</v>
      </c>
      <c r="GC1" s="5">
        <v>168.0</v>
      </c>
      <c r="GD1" s="4">
        <v>169.0</v>
      </c>
      <c r="GE1" s="5">
        <v>170.0</v>
      </c>
      <c r="GF1" s="5">
        <v>171.0</v>
      </c>
      <c r="GG1" s="4">
        <v>172.0</v>
      </c>
      <c r="GH1" s="5">
        <v>173.0</v>
      </c>
      <c r="GI1" s="5">
        <v>174.0</v>
      </c>
      <c r="GJ1" s="4">
        <v>175.0</v>
      </c>
      <c r="GK1" s="5">
        <v>176.0</v>
      </c>
      <c r="GL1" s="5">
        <v>177.0</v>
      </c>
      <c r="GM1" s="4">
        <v>178.0</v>
      </c>
      <c r="GN1" s="5">
        <v>179.0</v>
      </c>
      <c r="GO1" s="5">
        <v>180.0</v>
      </c>
      <c r="GP1" s="4">
        <v>181.0</v>
      </c>
      <c r="GQ1" s="5">
        <v>182.0</v>
      </c>
      <c r="GR1" s="5">
        <v>183.0</v>
      </c>
      <c r="GS1" s="4">
        <v>184.0</v>
      </c>
      <c r="GT1" s="5">
        <v>185.0</v>
      </c>
      <c r="GU1" s="5">
        <v>186.0</v>
      </c>
      <c r="GV1" s="4">
        <v>187.0</v>
      </c>
      <c r="GW1" s="5">
        <v>188.0</v>
      </c>
      <c r="GX1" s="5">
        <v>189.0</v>
      </c>
      <c r="GY1" s="4">
        <v>190.0</v>
      </c>
      <c r="GZ1" s="5">
        <v>191.0</v>
      </c>
      <c r="HA1" s="5">
        <v>192.0</v>
      </c>
      <c r="HB1" s="4">
        <v>193.0</v>
      </c>
      <c r="HC1" s="5">
        <v>194.0</v>
      </c>
      <c r="HD1" s="5">
        <v>195.0</v>
      </c>
      <c r="HE1" s="4">
        <v>196.0</v>
      </c>
      <c r="HF1" s="5">
        <v>197.0</v>
      </c>
      <c r="HG1" s="5">
        <v>198.0</v>
      </c>
      <c r="HH1" s="4">
        <v>199.0</v>
      </c>
      <c r="HI1" s="5">
        <v>200.0</v>
      </c>
      <c r="HJ1" s="5">
        <v>201.0</v>
      </c>
      <c r="HK1" s="4">
        <v>202.0</v>
      </c>
      <c r="HL1" s="5">
        <v>203.0</v>
      </c>
      <c r="HM1" s="5">
        <v>204.0</v>
      </c>
      <c r="HN1" s="4">
        <v>205.0</v>
      </c>
      <c r="HO1" s="5">
        <v>206.0</v>
      </c>
      <c r="HP1" s="5">
        <v>207.0</v>
      </c>
      <c r="HQ1" s="4">
        <v>208.0</v>
      </c>
      <c r="HR1" s="5">
        <v>209.0</v>
      </c>
      <c r="HS1" s="5">
        <v>210.0</v>
      </c>
      <c r="HT1" s="4">
        <v>211.0</v>
      </c>
      <c r="HU1" s="5">
        <v>212.0</v>
      </c>
      <c r="HV1" s="5">
        <v>213.0</v>
      </c>
      <c r="HW1" s="4">
        <v>214.0</v>
      </c>
      <c r="HX1" s="5">
        <v>215.0</v>
      </c>
      <c r="HY1" s="5">
        <v>216.0</v>
      </c>
      <c r="HZ1" s="4">
        <v>217.0</v>
      </c>
      <c r="IA1" s="5">
        <v>218.0</v>
      </c>
      <c r="IB1" s="5">
        <v>219.0</v>
      </c>
      <c r="IC1" s="4">
        <v>220.0</v>
      </c>
      <c r="ID1" s="5">
        <v>221.0</v>
      </c>
      <c r="IE1" s="5">
        <v>222.0</v>
      </c>
      <c r="IF1" s="4">
        <v>223.0</v>
      </c>
      <c r="IG1" s="5">
        <v>224.0</v>
      </c>
      <c r="IH1" s="5">
        <v>225.0</v>
      </c>
      <c r="II1" s="4">
        <v>226.0</v>
      </c>
      <c r="IJ1" s="5">
        <v>227.0</v>
      </c>
      <c r="IK1" s="5">
        <v>228.0</v>
      </c>
      <c r="IL1" s="4">
        <v>229.0</v>
      </c>
      <c r="IM1" s="5">
        <v>230.0</v>
      </c>
      <c r="IN1" s="5">
        <v>231.0</v>
      </c>
      <c r="IO1" s="4">
        <v>232.0</v>
      </c>
      <c r="IP1" s="5">
        <v>233.0</v>
      </c>
      <c r="IQ1" s="5">
        <v>234.0</v>
      </c>
      <c r="IR1" s="4">
        <v>235.0</v>
      </c>
      <c r="IS1" s="5">
        <v>236.0</v>
      </c>
      <c r="IT1" s="5">
        <v>237.0</v>
      </c>
      <c r="IU1" s="4">
        <v>238.0</v>
      </c>
      <c r="IV1" s="5">
        <v>239.0</v>
      </c>
      <c r="IW1" s="5">
        <v>240.0</v>
      </c>
      <c r="IX1" s="4">
        <v>241.0</v>
      </c>
      <c r="IY1" s="5">
        <v>242.0</v>
      </c>
      <c r="IZ1" s="5">
        <v>243.0</v>
      </c>
      <c r="JA1" s="4">
        <v>244.0</v>
      </c>
      <c r="JB1" s="5">
        <v>245.0</v>
      </c>
      <c r="JC1" s="5">
        <v>246.0</v>
      </c>
      <c r="JD1" s="4">
        <v>247.0</v>
      </c>
      <c r="JE1" s="5">
        <v>248.0</v>
      </c>
      <c r="JF1" s="5">
        <v>249.0</v>
      </c>
      <c r="JG1" s="4">
        <v>250.0</v>
      </c>
      <c r="JH1" s="5">
        <v>251.0</v>
      </c>
      <c r="JI1" s="5">
        <v>252.0</v>
      </c>
      <c r="JJ1" s="4">
        <v>253.0</v>
      </c>
      <c r="JK1" s="5">
        <v>254.0</v>
      </c>
      <c r="JL1" s="5">
        <v>255.0</v>
      </c>
      <c r="JM1" s="4">
        <v>256.0</v>
      </c>
      <c r="JN1" s="5">
        <v>257.0</v>
      </c>
      <c r="JO1" s="5">
        <v>258.0</v>
      </c>
      <c r="JP1" s="4">
        <v>259.0</v>
      </c>
      <c r="JQ1" s="5">
        <v>260.0</v>
      </c>
      <c r="JR1" s="5">
        <v>261.0</v>
      </c>
      <c r="JS1" s="4">
        <v>262.0</v>
      </c>
      <c r="JT1" s="5">
        <v>263.0</v>
      </c>
      <c r="JU1" s="5">
        <v>264.0</v>
      </c>
      <c r="JV1" s="4">
        <v>265.0</v>
      </c>
      <c r="JW1" s="5">
        <v>266.0</v>
      </c>
      <c r="JX1" s="5">
        <v>267.0</v>
      </c>
      <c r="JY1" s="4">
        <v>268.0</v>
      </c>
      <c r="JZ1" s="5">
        <v>269.0</v>
      </c>
      <c r="KA1" s="5">
        <v>270.0</v>
      </c>
      <c r="KB1" s="4">
        <v>271.0</v>
      </c>
      <c r="KC1" s="5">
        <v>272.0</v>
      </c>
      <c r="KD1" s="5">
        <v>273.0</v>
      </c>
      <c r="KE1" s="4">
        <v>274.0</v>
      </c>
      <c r="KF1" s="5">
        <v>275.0</v>
      </c>
      <c r="KG1" s="5">
        <v>276.0</v>
      </c>
      <c r="KH1" s="4">
        <v>277.0</v>
      </c>
      <c r="KI1" s="5">
        <v>278.0</v>
      </c>
      <c r="KJ1" s="5">
        <v>279.0</v>
      </c>
      <c r="KK1" s="4">
        <v>280.0</v>
      </c>
      <c r="KL1" s="5">
        <v>281.0</v>
      </c>
      <c r="KM1" s="5">
        <v>282.0</v>
      </c>
      <c r="KN1" s="4">
        <v>283.0</v>
      </c>
      <c r="KO1" s="5">
        <v>284.0</v>
      </c>
      <c r="KP1" s="5">
        <v>285.0</v>
      </c>
      <c r="KQ1" s="4">
        <v>286.0</v>
      </c>
      <c r="KR1" s="4">
        <v>287.0</v>
      </c>
      <c r="KS1" s="4">
        <v>288.0</v>
      </c>
    </row>
    <row r="2" ht="13.5" customHeight="1">
      <c r="A2" s="6"/>
      <c r="B2" s="7"/>
      <c r="C2" s="7"/>
      <c r="D2" s="6" t="s">
        <v>0</v>
      </c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 t="s">
        <v>1</v>
      </c>
      <c r="T2" s="6" t="s">
        <v>1</v>
      </c>
      <c r="U2" s="6" t="s">
        <v>1</v>
      </c>
      <c r="V2" s="6" t="s">
        <v>1</v>
      </c>
      <c r="W2" s="6" t="s">
        <v>1</v>
      </c>
      <c r="X2" s="6" t="s">
        <v>2</v>
      </c>
      <c r="Y2" s="6" t="s">
        <v>2</v>
      </c>
      <c r="Z2" s="6" t="s">
        <v>2</v>
      </c>
      <c r="AA2" s="6" t="s">
        <v>2</v>
      </c>
      <c r="AB2" s="6" t="s">
        <v>2</v>
      </c>
      <c r="AC2" s="6" t="s">
        <v>2</v>
      </c>
      <c r="AD2" s="6" t="s">
        <v>2</v>
      </c>
      <c r="AE2" s="6" t="s">
        <v>2</v>
      </c>
      <c r="AF2" s="6" t="s">
        <v>2</v>
      </c>
      <c r="AG2" s="6" t="s">
        <v>2</v>
      </c>
      <c r="AH2" s="6" t="s">
        <v>2</v>
      </c>
      <c r="AI2" s="6" t="s">
        <v>2</v>
      </c>
      <c r="AJ2" s="6" t="s">
        <v>2</v>
      </c>
      <c r="AK2" s="6" t="s">
        <v>2</v>
      </c>
      <c r="AL2" s="6" t="s">
        <v>2</v>
      </c>
      <c r="AM2" s="6" t="s">
        <v>2</v>
      </c>
      <c r="AN2" s="6" t="s">
        <v>2</v>
      </c>
      <c r="AO2" s="6" t="s">
        <v>2</v>
      </c>
      <c r="AP2" s="6" t="s">
        <v>2</v>
      </c>
      <c r="AQ2" s="6" t="s">
        <v>3</v>
      </c>
      <c r="AR2" s="6" t="s">
        <v>3</v>
      </c>
      <c r="AS2" s="6" t="s">
        <v>4</v>
      </c>
      <c r="AT2" s="6" t="s">
        <v>5</v>
      </c>
      <c r="AU2" s="6" t="s">
        <v>6</v>
      </c>
      <c r="AV2" s="6" t="s">
        <v>6</v>
      </c>
      <c r="AW2" s="6" t="s">
        <v>6</v>
      </c>
      <c r="AX2" s="6" t="s">
        <v>6</v>
      </c>
      <c r="AY2" s="6" t="s">
        <v>6</v>
      </c>
      <c r="AZ2" s="6" t="s">
        <v>6</v>
      </c>
      <c r="BA2" s="6" t="s">
        <v>6</v>
      </c>
      <c r="BB2" s="6" t="s">
        <v>6</v>
      </c>
      <c r="BC2" s="6" t="s">
        <v>6</v>
      </c>
      <c r="BD2" s="6" t="s">
        <v>6</v>
      </c>
      <c r="BE2" s="6" t="s">
        <v>6</v>
      </c>
      <c r="BF2" s="6" t="s">
        <v>6</v>
      </c>
      <c r="BG2" s="6" t="s">
        <v>6</v>
      </c>
      <c r="BH2" s="6" t="s">
        <v>6</v>
      </c>
      <c r="BI2" s="6" t="s">
        <v>6</v>
      </c>
      <c r="BJ2" s="6" t="s">
        <v>6</v>
      </c>
      <c r="BK2" s="6" t="s">
        <v>6</v>
      </c>
      <c r="BL2" s="6" t="s">
        <v>6</v>
      </c>
      <c r="BM2" s="6" t="s">
        <v>6</v>
      </c>
      <c r="BN2" s="6" t="s">
        <v>6</v>
      </c>
      <c r="BO2" s="6" t="s">
        <v>6</v>
      </c>
      <c r="BP2" s="6" t="s">
        <v>6</v>
      </c>
      <c r="BQ2" s="6" t="s">
        <v>6</v>
      </c>
      <c r="BR2" s="6" t="s">
        <v>6</v>
      </c>
      <c r="BS2" s="6" t="s">
        <v>6</v>
      </c>
      <c r="BT2" s="6" t="s">
        <v>6</v>
      </c>
      <c r="BU2" s="6" t="s">
        <v>7</v>
      </c>
      <c r="BV2" s="6" t="s">
        <v>7</v>
      </c>
      <c r="BW2" s="6" t="s">
        <v>7</v>
      </c>
      <c r="BX2" s="6" t="s">
        <v>8</v>
      </c>
      <c r="BY2" s="6" t="s">
        <v>9</v>
      </c>
      <c r="BZ2" s="6" t="s">
        <v>10</v>
      </c>
      <c r="CA2" s="6" t="s">
        <v>11</v>
      </c>
      <c r="CB2" s="6" t="s">
        <v>12</v>
      </c>
      <c r="CC2" s="6" t="s">
        <v>13</v>
      </c>
      <c r="CD2" s="6" t="s">
        <v>13</v>
      </c>
      <c r="CE2" s="6" t="s">
        <v>14</v>
      </c>
      <c r="CF2" s="6" t="s">
        <v>14</v>
      </c>
      <c r="CG2" s="6" t="s">
        <v>14</v>
      </c>
      <c r="CH2" s="6" t="s">
        <v>14</v>
      </c>
      <c r="CI2" s="6" t="s">
        <v>14</v>
      </c>
      <c r="CJ2" s="6" t="s">
        <v>14</v>
      </c>
      <c r="CK2" s="6" t="s">
        <v>14</v>
      </c>
      <c r="CL2" s="6" t="s">
        <v>14</v>
      </c>
      <c r="CM2" s="6" t="s">
        <v>14</v>
      </c>
      <c r="CN2" s="6" t="s">
        <v>14</v>
      </c>
      <c r="CO2" s="6" t="s">
        <v>14</v>
      </c>
      <c r="CP2" s="6" t="s">
        <v>14</v>
      </c>
      <c r="CQ2" s="6" t="s">
        <v>14</v>
      </c>
      <c r="CR2" s="6" t="s">
        <v>15</v>
      </c>
      <c r="CS2" s="6" t="s">
        <v>16</v>
      </c>
      <c r="CT2" s="6" t="s">
        <v>16</v>
      </c>
      <c r="CU2" s="6" t="s">
        <v>16</v>
      </c>
      <c r="CV2" s="6" t="s">
        <v>16</v>
      </c>
      <c r="CW2" s="6" t="s">
        <v>16</v>
      </c>
      <c r="CX2" s="6" t="s">
        <v>16</v>
      </c>
      <c r="CY2" s="6" t="s">
        <v>16</v>
      </c>
      <c r="CZ2" s="6" t="s">
        <v>16</v>
      </c>
      <c r="DA2" s="6" t="s">
        <v>16</v>
      </c>
      <c r="DB2" s="6" t="s">
        <v>16</v>
      </c>
      <c r="DC2" s="6" t="s">
        <v>17</v>
      </c>
      <c r="DD2" s="6" t="s">
        <v>17</v>
      </c>
      <c r="DE2" s="6" t="s">
        <v>17</v>
      </c>
      <c r="DF2" s="6" t="s">
        <v>18</v>
      </c>
      <c r="DG2" s="6" t="s">
        <v>19</v>
      </c>
      <c r="DH2" s="6" t="s">
        <v>20</v>
      </c>
      <c r="DI2" s="6" t="s">
        <v>21</v>
      </c>
      <c r="DJ2" s="6" t="s">
        <v>21</v>
      </c>
      <c r="DK2" s="6" t="s">
        <v>22</v>
      </c>
      <c r="DL2" s="6" t="s">
        <v>22</v>
      </c>
      <c r="DM2" s="6" t="s">
        <v>22</v>
      </c>
      <c r="DN2" s="6" t="s">
        <v>22</v>
      </c>
      <c r="DO2" s="6" t="s">
        <v>22</v>
      </c>
      <c r="DP2" s="6" t="s">
        <v>22</v>
      </c>
      <c r="DQ2" s="6" t="s">
        <v>23</v>
      </c>
      <c r="DR2" s="6" t="s">
        <v>23</v>
      </c>
      <c r="DS2" s="6" t="s">
        <v>24</v>
      </c>
      <c r="DT2" s="6" t="s">
        <v>24</v>
      </c>
      <c r="DU2" s="6" t="s">
        <v>25</v>
      </c>
      <c r="DV2" s="6" t="s">
        <v>25</v>
      </c>
      <c r="DW2" s="6" t="s">
        <v>26</v>
      </c>
      <c r="DX2" s="6" t="s">
        <v>26</v>
      </c>
      <c r="DY2" s="6" t="s">
        <v>27</v>
      </c>
      <c r="DZ2" s="6" t="s">
        <v>27</v>
      </c>
      <c r="EA2" s="6" t="s">
        <v>27</v>
      </c>
      <c r="EB2" s="6" t="s">
        <v>27</v>
      </c>
      <c r="EC2" s="6" t="s">
        <v>27</v>
      </c>
      <c r="ED2" s="6" t="s">
        <v>27</v>
      </c>
      <c r="EE2" s="6" t="s">
        <v>28</v>
      </c>
      <c r="EF2" s="6" t="s">
        <v>28</v>
      </c>
      <c r="EG2" s="6" t="s">
        <v>28</v>
      </c>
      <c r="EH2" s="6" t="s">
        <v>28</v>
      </c>
      <c r="EI2" s="6" t="s">
        <v>28</v>
      </c>
      <c r="EJ2" s="6" t="s">
        <v>29</v>
      </c>
      <c r="EK2" s="6" t="s">
        <v>30</v>
      </c>
      <c r="EL2" s="6" t="s">
        <v>30</v>
      </c>
      <c r="EM2" s="6" t="s">
        <v>30</v>
      </c>
      <c r="EN2" s="6" t="s">
        <v>30</v>
      </c>
      <c r="EO2" s="6" t="s">
        <v>30</v>
      </c>
      <c r="EP2" s="6" t="s">
        <v>30</v>
      </c>
      <c r="EQ2" s="6" t="s">
        <v>30</v>
      </c>
      <c r="ER2" s="6" t="s">
        <v>30</v>
      </c>
      <c r="ES2" s="6" t="s">
        <v>30</v>
      </c>
      <c r="ET2" s="6" t="s">
        <v>30</v>
      </c>
      <c r="EU2" s="6" t="s">
        <v>31</v>
      </c>
      <c r="EV2" s="6" t="s">
        <v>31</v>
      </c>
      <c r="EW2" s="6" t="s">
        <v>31</v>
      </c>
      <c r="EX2" s="6" t="s">
        <v>31</v>
      </c>
      <c r="EY2" s="6" t="s">
        <v>31</v>
      </c>
      <c r="EZ2" s="6" t="s">
        <v>31</v>
      </c>
      <c r="FA2" s="6" t="s">
        <v>31</v>
      </c>
      <c r="FB2" s="6" t="s">
        <v>31</v>
      </c>
      <c r="FC2" s="6" t="s">
        <v>32</v>
      </c>
      <c r="FD2" s="6" t="s">
        <v>32</v>
      </c>
      <c r="FE2" s="6" t="s">
        <v>33</v>
      </c>
      <c r="FF2" s="6" t="s">
        <v>34</v>
      </c>
      <c r="FG2" s="6" t="s">
        <v>35</v>
      </c>
      <c r="FH2" s="6" t="s">
        <v>35</v>
      </c>
      <c r="FI2" s="6" t="s">
        <v>35</v>
      </c>
      <c r="FJ2" s="6" t="s">
        <v>35</v>
      </c>
      <c r="FK2" s="6" t="s">
        <v>35</v>
      </c>
      <c r="FL2" s="6" t="s">
        <v>35</v>
      </c>
      <c r="FM2" s="6" t="s">
        <v>35</v>
      </c>
      <c r="FN2" s="6" t="s">
        <v>35</v>
      </c>
      <c r="FO2" s="6" t="s">
        <v>35</v>
      </c>
      <c r="FP2" s="6" t="s">
        <v>35</v>
      </c>
      <c r="FQ2" s="6" t="s">
        <v>35</v>
      </c>
      <c r="FR2" s="6" t="s">
        <v>35</v>
      </c>
      <c r="FS2" s="6" t="s">
        <v>35</v>
      </c>
      <c r="FT2" s="6" t="s">
        <v>35</v>
      </c>
      <c r="FU2" s="6" t="s">
        <v>35</v>
      </c>
      <c r="FV2" s="6" t="s">
        <v>36</v>
      </c>
      <c r="FW2" s="6" t="s">
        <v>36</v>
      </c>
      <c r="FX2" s="6" t="s">
        <v>36</v>
      </c>
      <c r="FY2" s="6" t="s">
        <v>36</v>
      </c>
      <c r="FZ2" s="6" t="s">
        <v>36</v>
      </c>
      <c r="GA2" s="6" t="s">
        <v>36</v>
      </c>
      <c r="GB2" s="6" t="s">
        <v>36</v>
      </c>
      <c r="GC2" s="6" t="s">
        <v>36</v>
      </c>
      <c r="GD2" s="6" t="s">
        <v>36</v>
      </c>
      <c r="GE2" s="6" t="s">
        <v>36</v>
      </c>
      <c r="GF2" s="6" t="s">
        <v>36</v>
      </c>
      <c r="GG2" s="6" t="s">
        <v>37</v>
      </c>
      <c r="GH2" s="6" t="s">
        <v>37</v>
      </c>
      <c r="GI2" s="6" t="s">
        <v>37</v>
      </c>
      <c r="GJ2" s="6" t="s">
        <v>37</v>
      </c>
      <c r="GK2" s="6" t="s">
        <v>37</v>
      </c>
      <c r="GL2" s="6" t="s">
        <v>37</v>
      </c>
      <c r="GM2" s="6" t="s">
        <v>37</v>
      </c>
      <c r="GN2" s="6" t="s">
        <v>37</v>
      </c>
      <c r="GO2" s="6" t="s">
        <v>37</v>
      </c>
      <c r="GP2" s="6" t="s">
        <v>37</v>
      </c>
      <c r="GQ2" s="6" t="s">
        <v>38</v>
      </c>
      <c r="GR2" s="6" t="s">
        <v>38</v>
      </c>
      <c r="GS2" s="6" t="s">
        <v>38</v>
      </c>
      <c r="GT2" s="6" t="s">
        <v>38</v>
      </c>
      <c r="GU2" s="6" t="s">
        <v>38</v>
      </c>
      <c r="GV2" s="6" t="s">
        <v>38</v>
      </c>
      <c r="GW2" s="6" t="s">
        <v>38</v>
      </c>
      <c r="GX2" s="6" t="s">
        <v>38</v>
      </c>
      <c r="GY2" s="6" t="s">
        <v>38</v>
      </c>
      <c r="GZ2" s="6" t="s">
        <v>38</v>
      </c>
      <c r="HA2" s="6" t="s">
        <v>38</v>
      </c>
      <c r="HB2" s="6" t="s">
        <v>38</v>
      </c>
      <c r="HC2" s="6" t="s">
        <v>38</v>
      </c>
      <c r="HD2" s="6" t="s">
        <v>38</v>
      </c>
      <c r="HE2" s="6" t="s">
        <v>38</v>
      </c>
      <c r="HF2" s="6" t="s">
        <v>38</v>
      </c>
      <c r="HG2" s="6" t="s">
        <v>38</v>
      </c>
      <c r="HH2" s="6" t="s">
        <v>38</v>
      </c>
      <c r="HI2" s="6" t="s">
        <v>39</v>
      </c>
      <c r="HJ2" s="6" t="s">
        <v>40</v>
      </c>
      <c r="HK2" s="6" t="s">
        <v>40</v>
      </c>
      <c r="HL2" s="6" t="s">
        <v>40</v>
      </c>
      <c r="HM2" s="6" t="s">
        <v>40</v>
      </c>
      <c r="HN2" s="6" t="s">
        <v>41</v>
      </c>
      <c r="HO2" s="6" t="s">
        <v>41</v>
      </c>
      <c r="HP2" s="6" t="s">
        <v>42</v>
      </c>
      <c r="HQ2" s="6" t="s">
        <v>42</v>
      </c>
      <c r="HR2" s="6" t="s">
        <v>42</v>
      </c>
      <c r="HS2" s="6" t="s">
        <v>42</v>
      </c>
      <c r="HT2" s="6" t="s">
        <v>43</v>
      </c>
      <c r="HU2" s="6" t="s">
        <v>43</v>
      </c>
      <c r="HV2" s="6" t="s">
        <v>43</v>
      </c>
      <c r="HW2" s="6" t="s">
        <v>44</v>
      </c>
      <c r="HX2" s="6" t="s">
        <v>44</v>
      </c>
      <c r="HY2" s="6" t="s">
        <v>44</v>
      </c>
      <c r="HZ2" s="6" t="s">
        <v>44</v>
      </c>
      <c r="IA2" s="6" t="s">
        <v>45</v>
      </c>
      <c r="IB2" s="6" t="s">
        <v>45</v>
      </c>
      <c r="IC2" s="6" t="s">
        <v>45</v>
      </c>
      <c r="ID2" s="6" t="s">
        <v>45</v>
      </c>
      <c r="IE2" s="6" t="s">
        <v>45</v>
      </c>
      <c r="IF2" s="6" t="s">
        <v>45</v>
      </c>
      <c r="IG2" s="6" t="s">
        <v>45</v>
      </c>
      <c r="IH2" s="6" t="s">
        <v>45</v>
      </c>
      <c r="II2" s="6" t="s">
        <v>45</v>
      </c>
      <c r="IJ2" s="6" t="s">
        <v>45</v>
      </c>
      <c r="IK2" s="6" t="s">
        <v>45</v>
      </c>
      <c r="IL2" s="6" t="s">
        <v>45</v>
      </c>
      <c r="IM2" s="6" t="s">
        <v>45</v>
      </c>
      <c r="IN2" s="6" t="s">
        <v>46</v>
      </c>
      <c r="IO2" s="6" t="s">
        <v>47</v>
      </c>
      <c r="IP2" s="6" t="s">
        <v>47</v>
      </c>
      <c r="IQ2" s="6" t="s">
        <v>47</v>
      </c>
      <c r="IR2" s="6" t="s">
        <v>47</v>
      </c>
      <c r="IS2" s="6" t="s">
        <v>48</v>
      </c>
      <c r="IT2" s="6" t="s">
        <v>48</v>
      </c>
      <c r="IU2" s="6" t="s">
        <v>48</v>
      </c>
      <c r="IV2" s="6" t="s">
        <v>48</v>
      </c>
      <c r="IW2" s="6" t="s">
        <v>49</v>
      </c>
      <c r="IX2" s="6" t="s">
        <v>49</v>
      </c>
      <c r="IY2" s="6" t="s">
        <v>49</v>
      </c>
      <c r="IZ2" s="6" t="s">
        <v>49</v>
      </c>
      <c r="JA2" s="6" t="s">
        <v>49</v>
      </c>
      <c r="JB2" s="6" t="s">
        <v>49</v>
      </c>
      <c r="JC2" s="6" t="s">
        <v>49</v>
      </c>
      <c r="JD2" s="6" t="s">
        <v>49</v>
      </c>
      <c r="JE2" s="6" t="s">
        <v>49</v>
      </c>
      <c r="JF2" s="6" t="s">
        <v>49</v>
      </c>
      <c r="JG2" s="6" t="s">
        <v>50</v>
      </c>
      <c r="JH2" s="6" t="s">
        <v>50</v>
      </c>
      <c r="JI2" s="6" t="s">
        <v>50</v>
      </c>
      <c r="JJ2" s="6" t="s">
        <v>51</v>
      </c>
      <c r="JK2" s="6" t="s">
        <v>51</v>
      </c>
      <c r="JL2" s="6" t="s">
        <v>51</v>
      </c>
      <c r="JM2" s="6" t="s">
        <v>51</v>
      </c>
      <c r="JN2" s="6" t="s">
        <v>52</v>
      </c>
      <c r="JO2" s="6" t="s">
        <v>52</v>
      </c>
      <c r="JP2" s="6" t="s">
        <v>52</v>
      </c>
      <c r="JQ2" s="6" t="s">
        <v>52</v>
      </c>
      <c r="JR2" s="6" t="s">
        <v>52</v>
      </c>
      <c r="JS2" s="6" t="s">
        <v>52</v>
      </c>
      <c r="JT2" s="6" t="s">
        <v>53</v>
      </c>
      <c r="JU2" s="6" t="s">
        <v>53</v>
      </c>
      <c r="JV2" s="6" t="s">
        <v>53</v>
      </c>
      <c r="JW2" s="6" t="s">
        <v>53</v>
      </c>
      <c r="JX2" s="6" t="s">
        <v>53</v>
      </c>
      <c r="JY2" s="6" t="s">
        <v>53</v>
      </c>
      <c r="JZ2" s="6" t="s">
        <v>53</v>
      </c>
      <c r="KA2" s="6" t="s">
        <v>53</v>
      </c>
      <c r="KB2" s="6" t="s">
        <v>53</v>
      </c>
      <c r="KC2" s="6" t="s">
        <v>53</v>
      </c>
      <c r="KD2" s="6" t="s">
        <v>54</v>
      </c>
      <c r="KE2" s="6" t="s">
        <v>54</v>
      </c>
      <c r="KF2" s="6" t="s">
        <v>55</v>
      </c>
      <c r="KG2" s="6" t="s">
        <v>55</v>
      </c>
      <c r="KH2" s="6" t="s">
        <v>55</v>
      </c>
      <c r="KI2" s="6" t="s">
        <v>55</v>
      </c>
      <c r="KJ2" s="6" t="s">
        <v>55</v>
      </c>
      <c r="KK2" s="6" t="s">
        <v>55</v>
      </c>
      <c r="KL2" s="6" t="s">
        <v>55</v>
      </c>
      <c r="KM2" s="6" t="s">
        <v>55</v>
      </c>
      <c r="KN2" s="6" t="s">
        <v>55</v>
      </c>
      <c r="KO2" s="6" t="s">
        <v>55</v>
      </c>
      <c r="KP2" s="6" t="s">
        <v>56</v>
      </c>
      <c r="KQ2" s="6" t="s">
        <v>57</v>
      </c>
      <c r="KR2" s="9" t="s">
        <v>58</v>
      </c>
      <c r="KS2" s="9" t="s">
        <v>58</v>
      </c>
    </row>
    <row r="3" ht="12.75" customHeight="1">
      <c r="A3" s="6"/>
      <c r="B3" s="7"/>
      <c r="C3" s="7"/>
      <c r="D3" s="10" t="str">
        <f>VLOOKUP($F$9,$R$7:$BU$8,56,0)</f>
        <v>Datos Específicos para Sport Entries</v>
      </c>
      <c r="E3" s="11"/>
      <c r="F3" s="12"/>
      <c r="G3" s="6"/>
      <c r="H3" s="6"/>
      <c r="I3" s="6"/>
      <c r="R3" s="9" t="s">
        <v>59</v>
      </c>
      <c r="S3" s="6" t="s">
        <v>60</v>
      </c>
      <c r="T3" s="6" t="s">
        <v>61</v>
      </c>
      <c r="U3" s="6" t="s">
        <v>62</v>
      </c>
      <c r="V3" s="6" t="s">
        <v>63</v>
      </c>
      <c r="W3" s="6" t="s">
        <v>64</v>
      </c>
      <c r="X3" s="6" t="s">
        <v>65</v>
      </c>
      <c r="Y3" s="6" t="s">
        <v>66</v>
      </c>
      <c r="Z3" s="6" t="s">
        <v>67</v>
      </c>
      <c r="AA3" s="6" t="s">
        <v>68</v>
      </c>
      <c r="AB3" s="6" t="s">
        <v>69</v>
      </c>
      <c r="AC3" s="6" t="s">
        <v>70</v>
      </c>
      <c r="AD3" s="6" t="s">
        <v>71</v>
      </c>
      <c r="AE3" s="6" t="s">
        <v>72</v>
      </c>
      <c r="AF3" s="6" t="s">
        <v>73</v>
      </c>
      <c r="AG3" s="6" t="s">
        <v>74</v>
      </c>
      <c r="AH3" s="6" t="s">
        <v>75</v>
      </c>
      <c r="AI3" s="6" t="s">
        <v>76</v>
      </c>
      <c r="AJ3" s="6" t="s">
        <v>77</v>
      </c>
      <c r="AK3" s="6" t="s">
        <v>78</v>
      </c>
      <c r="AL3" s="6" t="s">
        <v>79</v>
      </c>
      <c r="AM3" s="6" t="s">
        <v>80</v>
      </c>
      <c r="AN3" s="6" t="s">
        <v>81</v>
      </c>
      <c r="AO3" s="6" t="s">
        <v>82</v>
      </c>
      <c r="AP3" s="6" t="s">
        <v>83</v>
      </c>
      <c r="AQ3" s="6" t="s">
        <v>84</v>
      </c>
      <c r="AR3" s="6" t="s">
        <v>85</v>
      </c>
      <c r="AS3" s="6" t="s">
        <v>86</v>
      </c>
      <c r="AT3" s="6" t="s">
        <v>87</v>
      </c>
      <c r="AU3" s="6" t="s">
        <v>88</v>
      </c>
      <c r="AV3" s="6" t="s">
        <v>89</v>
      </c>
      <c r="AW3" s="6" t="s">
        <v>90</v>
      </c>
      <c r="AX3" s="6" t="s">
        <v>91</v>
      </c>
      <c r="AY3" s="6" t="s">
        <v>92</v>
      </c>
      <c r="AZ3" s="6" t="s">
        <v>93</v>
      </c>
      <c r="BA3" s="6" t="s">
        <v>94</v>
      </c>
      <c r="BB3" s="6" t="s">
        <v>95</v>
      </c>
      <c r="BC3" s="6" t="s">
        <v>96</v>
      </c>
      <c r="BD3" s="6" t="s">
        <v>97</v>
      </c>
      <c r="BE3" s="6" t="s">
        <v>98</v>
      </c>
      <c r="BF3" s="6" t="s">
        <v>99</v>
      </c>
      <c r="BG3" s="6" t="s">
        <v>100</v>
      </c>
      <c r="BH3" s="6" t="s">
        <v>101</v>
      </c>
      <c r="BI3" s="6" t="s">
        <v>102</v>
      </c>
      <c r="BJ3" s="6" t="s">
        <v>103</v>
      </c>
      <c r="BK3" s="6" t="s">
        <v>104</v>
      </c>
      <c r="BL3" s="6" t="s">
        <v>105</v>
      </c>
      <c r="BM3" s="6" t="s">
        <v>106</v>
      </c>
      <c r="BN3" s="6" t="s">
        <v>107</v>
      </c>
      <c r="BO3" s="6" t="s">
        <v>108</v>
      </c>
      <c r="BP3" s="6" t="s">
        <v>109</v>
      </c>
      <c r="BQ3" s="6" t="s">
        <v>110</v>
      </c>
      <c r="BR3" s="6" t="s">
        <v>111</v>
      </c>
      <c r="BS3" s="6" t="s">
        <v>112</v>
      </c>
      <c r="BT3" s="6" t="s">
        <v>113</v>
      </c>
      <c r="BU3" s="6" t="s">
        <v>114</v>
      </c>
      <c r="BV3" s="6" t="s">
        <v>115</v>
      </c>
      <c r="BW3" s="6" t="s">
        <v>116</v>
      </c>
      <c r="BX3" s="6" t="s">
        <v>117</v>
      </c>
      <c r="BY3" s="6" t="s">
        <v>118</v>
      </c>
      <c r="BZ3" s="6" t="s">
        <v>119</v>
      </c>
      <c r="CA3" s="6" t="s">
        <v>120</v>
      </c>
      <c r="CB3" s="6" t="s">
        <v>121</v>
      </c>
      <c r="CC3" s="6" t="s">
        <v>114</v>
      </c>
      <c r="CD3" s="6" t="s">
        <v>115</v>
      </c>
      <c r="CE3" s="6" t="s">
        <v>122</v>
      </c>
      <c r="CF3" s="6" t="s">
        <v>123</v>
      </c>
      <c r="CG3" s="6" t="s">
        <v>124</v>
      </c>
      <c r="CH3" s="6" t="s">
        <v>125</v>
      </c>
      <c r="CI3" s="6" t="s">
        <v>126</v>
      </c>
      <c r="CJ3" s="6" t="s">
        <v>127</v>
      </c>
      <c r="CK3" s="6" t="s">
        <v>128</v>
      </c>
      <c r="CL3" s="6" t="s">
        <v>129</v>
      </c>
      <c r="CM3" s="6" t="s">
        <v>130</v>
      </c>
      <c r="CN3" s="6" t="s">
        <v>131</v>
      </c>
      <c r="CO3" s="6" t="s">
        <v>132</v>
      </c>
      <c r="CP3" s="6" t="s">
        <v>133</v>
      </c>
      <c r="CQ3" s="6" t="s">
        <v>134</v>
      </c>
      <c r="CR3" s="6" t="s">
        <v>135</v>
      </c>
      <c r="CS3" s="6" t="s">
        <v>136</v>
      </c>
      <c r="CT3" s="6" t="s">
        <v>137</v>
      </c>
      <c r="CU3" s="6" t="s">
        <v>138</v>
      </c>
      <c r="CV3" s="6" t="s">
        <v>139</v>
      </c>
      <c r="CW3" s="6" t="s">
        <v>140</v>
      </c>
      <c r="CX3" s="6" t="s">
        <v>141</v>
      </c>
      <c r="CY3" s="6" t="s">
        <v>142</v>
      </c>
      <c r="CZ3" s="6" t="s">
        <v>143</v>
      </c>
      <c r="DA3" s="6" t="s">
        <v>144</v>
      </c>
      <c r="DB3" s="6" t="s">
        <v>145</v>
      </c>
      <c r="DC3" s="6" t="s">
        <v>146</v>
      </c>
      <c r="DD3" s="6" t="s">
        <v>147</v>
      </c>
      <c r="DE3" s="6" t="s">
        <v>148</v>
      </c>
      <c r="DF3" s="6" t="s">
        <v>149</v>
      </c>
      <c r="DG3" s="6" t="s">
        <v>150</v>
      </c>
      <c r="DH3" s="6" t="s">
        <v>151</v>
      </c>
      <c r="DI3" s="6" t="s">
        <v>152</v>
      </c>
      <c r="DJ3" s="6" t="s">
        <v>153</v>
      </c>
      <c r="DK3" s="6" t="s">
        <v>154</v>
      </c>
      <c r="DL3" s="6" t="s">
        <v>155</v>
      </c>
      <c r="DM3" s="6" t="s">
        <v>156</v>
      </c>
      <c r="DN3" s="6" t="s">
        <v>157</v>
      </c>
      <c r="DO3" s="6" t="s">
        <v>158</v>
      </c>
      <c r="DP3" s="6" t="s">
        <v>159</v>
      </c>
      <c r="DQ3" s="6" t="s">
        <v>160</v>
      </c>
      <c r="DR3" s="6" t="s">
        <v>161</v>
      </c>
      <c r="DS3" s="6" t="s">
        <v>162</v>
      </c>
      <c r="DT3" s="6" t="s">
        <v>163</v>
      </c>
      <c r="DU3" s="6" t="s">
        <v>164</v>
      </c>
      <c r="DV3" s="6" t="s">
        <v>165</v>
      </c>
      <c r="DW3" s="6" t="s">
        <v>166</v>
      </c>
      <c r="DX3" s="6" t="s">
        <v>167</v>
      </c>
      <c r="DY3" s="6" t="s">
        <v>168</v>
      </c>
      <c r="DZ3" s="6" t="s">
        <v>169</v>
      </c>
      <c r="EA3" s="6" t="s">
        <v>170</v>
      </c>
      <c r="EB3" s="6" t="s">
        <v>171</v>
      </c>
      <c r="EC3" s="6" t="s">
        <v>172</v>
      </c>
      <c r="ED3" s="6" t="s">
        <v>173</v>
      </c>
      <c r="EE3" s="6" t="s">
        <v>174</v>
      </c>
      <c r="EF3" s="6" t="s">
        <v>175</v>
      </c>
      <c r="EG3" s="6" t="s">
        <v>176</v>
      </c>
      <c r="EH3" s="6" t="s">
        <v>177</v>
      </c>
      <c r="EI3" s="6" t="s">
        <v>178</v>
      </c>
      <c r="EJ3" s="6" t="s">
        <v>179</v>
      </c>
      <c r="EK3" s="6" t="s">
        <v>84</v>
      </c>
      <c r="EL3" s="6" t="s">
        <v>180</v>
      </c>
      <c r="EM3" s="6" t="s">
        <v>181</v>
      </c>
      <c r="EN3" s="6" t="s">
        <v>182</v>
      </c>
      <c r="EO3" s="6" t="s">
        <v>183</v>
      </c>
      <c r="EP3" s="6" t="s">
        <v>176</v>
      </c>
      <c r="EQ3" s="6" t="s">
        <v>184</v>
      </c>
      <c r="ER3" s="6" t="s">
        <v>185</v>
      </c>
      <c r="ES3" s="6" t="s">
        <v>186</v>
      </c>
      <c r="ET3" s="6" t="s">
        <v>187</v>
      </c>
      <c r="EU3" s="6" t="s">
        <v>188</v>
      </c>
      <c r="EV3" s="6" t="s">
        <v>189</v>
      </c>
      <c r="EW3" s="6" t="s">
        <v>190</v>
      </c>
      <c r="EX3" s="6" t="s">
        <v>191</v>
      </c>
      <c r="EY3" s="6" t="s">
        <v>192</v>
      </c>
      <c r="EZ3" s="6" t="s">
        <v>193</v>
      </c>
      <c r="FA3" s="6" t="s">
        <v>194</v>
      </c>
      <c r="FB3" s="6" t="s">
        <v>195</v>
      </c>
      <c r="FC3" s="6" t="s">
        <v>114</v>
      </c>
      <c r="FD3" s="6" t="s">
        <v>196</v>
      </c>
      <c r="FE3" s="6" t="s">
        <v>197</v>
      </c>
      <c r="FF3" s="6" t="s">
        <v>198</v>
      </c>
      <c r="FG3" s="9" t="s">
        <v>199</v>
      </c>
      <c r="FH3" s="9" t="s">
        <v>200</v>
      </c>
      <c r="FI3" s="9" t="s">
        <v>201</v>
      </c>
      <c r="FJ3" s="9" t="s">
        <v>202</v>
      </c>
      <c r="FK3" s="9" t="s">
        <v>203</v>
      </c>
      <c r="FL3" s="9" t="s">
        <v>204</v>
      </c>
      <c r="FM3" s="9" t="s">
        <v>205</v>
      </c>
      <c r="FN3" s="9" t="s">
        <v>206</v>
      </c>
      <c r="FO3" s="9" t="s">
        <v>207</v>
      </c>
      <c r="FP3" s="9" t="s">
        <v>208</v>
      </c>
      <c r="FQ3" s="9" t="s">
        <v>209</v>
      </c>
      <c r="FR3" s="9" t="s">
        <v>210</v>
      </c>
      <c r="FS3" s="9" t="s">
        <v>211</v>
      </c>
      <c r="FT3" s="9" t="s">
        <v>212</v>
      </c>
      <c r="FU3" s="6" t="s">
        <v>213</v>
      </c>
      <c r="FV3" s="9" t="s">
        <v>214</v>
      </c>
      <c r="FW3" s="9" t="s">
        <v>215</v>
      </c>
      <c r="FX3" s="9" t="s">
        <v>216</v>
      </c>
      <c r="FY3" s="9" t="s">
        <v>217</v>
      </c>
      <c r="FZ3" s="9" t="s">
        <v>218</v>
      </c>
      <c r="GA3" s="9" t="s">
        <v>219</v>
      </c>
      <c r="GB3" s="9" t="s">
        <v>220</v>
      </c>
      <c r="GC3" s="9" t="s">
        <v>221</v>
      </c>
      <c r="GD3" s="9" t="s">
        <v>222</v>
      </c>
      <c r="GE3" s="9" t="s">
        <v>223</v>
      </c>
      <c r="GF3" s="6" t="s">
        <v>224</v>
      </c>
      <c r="GG3" s="6" t="s">
        <v>225</v>
      </c>
      <c r="GH3" s="6" t="s">
        <v>226</v>
      </c>
      <c r="GI3" s="6" t="s">
        <v>227</v>
      </c>
      <c r="GJ3" s="6" t="s">
        <v>228</v>
      </c>
      <c r="GK3" s="6" t="s">
        <v>229</v>
      </c>
      <c r="GL3" s="6" t="s">
        <v>230</v>
      </c>
      <c r="GM3" s="6" t="s">
        <v>231</v>
      </c>
      <c r="GN3" s="6" t="s">
        <v>232</v>
      </c>
      <c r="GO3" s="6" t="s">
        <v>233</v>
      </c>
      <c r="GP3" s="6" t="s">
        <v>234</v>
      </c>
      <c r="GQ3" s="6" t="s">
        <v>235</v>
      </c>
      <c r="GR3" s="6" t="s">
        <v>236</v>
      </c>
      <c r="GS3" s="6" t="s">
        <v>237</v>
      </c>
      <c r="GT3" s="6" t="s">
        <v>238</v>
      </c>
      <c r="GU3" s="6" t="s">
        <v>239</v>
      </c>
      <c r="GV3" s="6" t="s">
        <v>240</v>
      </c>
      <c r="GW3" s="6" t="s">
        <v>241</v>
      </c>
      <c r="GX3" s="6" t="s">
        <v>242</v>
      </c>
      <c r="GY3" s="6" t="s">
        <v>243</v>
      </c>
      <c r="GZ3" s="6" t="s">
        <v>244</v>
      </c>
      <c r="HA3" s="6" t="s">
        <v>245</v>
      </c>
      <c r="HB3" s="6" t="s">
        <v>246</v>
      </c>
      <c r="HC3" s="6" t="s">
        <v>247</v>
      </c>
      <c r="HD3" s="6" t="s">
        <v>248</v>
      </c>
      <c r="HE3" s="6" t="s">
        <v>249</v>
      </c>
      <c r="HF3" s="6" t="s">
        <v>250</v>
      </c>
      <c r="HG3" s="6" t="s">
        <v>251</v>
      </c>
      <c r="HH3" s="6" t="s">
        <v>252</v>
      </c>
      <c r="HI3" s="6" t="s">
        <v>253</v>
      </c>
      <c r="HJ3" s="6" t="s">
        <v>254</v>
      </c>
      <c r="HK3" s="6" t="s">
        <v>255</v>
      </c>
      <c r="HL3" s="6" t="s">
        <v>256</v>
      </c>
      <c r="HM3" s="6" t="s">
        <v>257</v>
      </c>
      <c r="HN3" s="6" t="s">
        <v>258</v>
      </c>
      <c r="HO3" s="6" t="s">
        <v>259</v>
      </c>
      <c r="HP3" s="6" t="s">
        <v>260</v>
      </c>
      <c r="HQ3" s="6" t="s">
        <v>261</v>
      </c>
      <c r="HR3" s="6" t="s">
        <v>262</v>
      </c>
      <c r="HS3" s="6" t="s">
        <v>263</v>
      </c>
      <c r="HT3" s="6" t="s">
        <v>114</v>
      </c>
      <c r="HU3" s="6" t="s">
        <v>264</v>
      </c>
      <c r="HV3" s="6" t="s">
        <v>265</v>
      </c>
      <c r="HW3" s="6" t="s">
        <v>114</v>
      </c>
      <c r="HX3" s="6" t="s">
        <v>115</v>
      </c>
      <c r="HY3" s="6" t="s">
        <v>84</v>
      </c>
      <c r="HZ3" s="6" t="s">
        <v>266</v>
      </c>
      <c r="IA3" s="6" t="s">
        <v>267</v>
      </c>
      <c r="IB3" s="6" t="s">
        <v>268</v>
      </c>
      <c r="IC3" s="6" t="s">
        <v>269</v>
      </c>
      <c r="ID3" s="6" t="s">
        <v>270</v>
      </c>
      <c r="IE3" s="6" t="s">
        <v>271</v>
      </c>
      <c r="IF3" s="6" t="s">
        <v>272</v>
      </c>
      <c r="IG3" s="6" t="s">
        <v>273</v>
      </c>
      <c r="IH3" s="6" t="s">
        <v>274</v>
      </c>
      <c r="II3" s="6" t="s">
        <v>275</v>
      </c>
      <c r="IJ3" s="6" t="s">
        <v>276</v>
      </c>
      <c r="IK3" s="6" t="s">
        <v>277</v>
      </c>
      <c r="IL3" s="6" t="s">
        <v>278</v>
      </c>
      <c r="IM3" s="6" t="s">
        <v>279</v>
      </c>
      <c r="IN3" s="6" t="s">
        <v>280</v>
      </c>
      <c r="IO3" s="6" t="s">
        <v>114</v>
      </c>
      <c r="IP3" s="6" t="s">
        <v>84</v>
      </c>
      <c r="IQ3" s="6" t="s">
        <v>115</v>
      </c>
      <c r="IR3" s="6" t="s">
        <v>266</v>
      </c>
      <c r="IS3" s="6" t="s">
        <v>281</v>
      </c>
      <c r="IT3" s="6" t="s">
        <v>282</v>
      </c>
      <c r="IU3" s="6" t="s">
        <v>283</v>
      </c>
      <c r="IV3" s="6" t="s">
        <v>284</v>
      </c>
      <c r="IW3" s="6" t="s">
        <v>285</v>
      </c>
      <c r="IX3" s="6" t="s">
        <v>286</v>
      </c>
      <c r="IY3" s="6" t="s">
        <v>287</v>
      </c>
      <c r="IZ3" s="6" t="s">
        <v>288</v>
      </c>
      <c r="JA3" s="6" t="s">
        <v>289</v>
      </c>
      <c r="JB3" s="6" t="s">
        <v>290</v>
      </c>
      <c r="JC3" s="6" t="s">
        <v>291</v>
      </c>
      <c r="JD3" s="6" t="s">
        <v>292</v>
      </c>
      <c r="JE3" s="6" t="s">
        <v>293</v>
      </c>
      <c r="JF3" s="6" t="s">
        <v>294</v>
      </c>
      <c r="JG3" s="6" t="s">
        <v>114</v>
      </c>
      <c r="JH3" s="6" t="s">
        <v>115</v>
      </c>
      <c r="JI3" s="6" t="s">
        <v>266</v>
      </c>
      <c r="JJ3" s="6" t="s">
        <v>114</v>
      </c>
      <c r="JK3" s="6" t="s">
        <v>84</v>
      </c>
      <c r="JL3" s="6" t="s">
        <v>115</v>
      </c>
      <c r="JM3" s="6" t="s">
        <v>266</v>
      </c>
      <c r="JN3" s="6" t="s">
        <v>295</v>
      </c>
      <c r="JO3" s="6" t="s">
        <v>296</v>
      </c>
      <c r="JP3" s="6" t="s">
        <v>297</v>
      </c>
      <c r="JQ3" s="6" t="s">
        <v>298</v>
      </c>
      <c r="JR3" s="6" t="s">
        <v>299</v>
      </c>
      <c r="JS3" s="6" t="s">
        <v>300</v>
      </c>
      <c r="JT3" s="6" t="s">
        <v>301</v>
      </c>
      <c r="JU3" s="6" t="s">
        <v>302</v>
      </c>
      <c r="JV3" s="6" t="s">
        <v>303</v>
      </c>
      <c r="JW3" s="6" t="s">
        <v>304</v>
      </c>
      <c r="JX3" s="6" t="s">
        <v>305</v>
      </c>
      <c r="JY3" s="6" t="s">
        <v>306</v>
      </c>
      <c r="JZ3" s="6" t="s">
        <v>307</v>
      </c>
      <c r="KA3" s="6" t="s">
        <v>308</v>
      </c>
      <c r="KB3" s="6" t="s">
        <v>309</v>
      </c>
      <c r="KC3" s="6" t="s">
        <v>310</v>
      </c>
      <c r="KD3" s="6" t="s">
        <v>114</v>
      </c>
      <c r="KE3" s="6" t="s">
        <v>265</v>
      </c>
      <c r="KF3" s="6" t="s">
        <v>311</v>
      </c>
      <c r="KG3" s="6" t="s">
        <v>312</v>
      </c>
      <c r="KH3" s="6" t="s">
        <v>313</v>
      </c>
      <c r="KI3" s="6" t="s">
        <v>314</v>
      </c>
      <c r="KJ3" s="6" t="s">
        <v>315</v>
      </c>
      <c r="KK3" s="6" t="s">
        <v>316</v>
      </c>
      <c r="KL3" s="6" t="s">
        <v>317</v>
      </c>
      <c r="KM3" s="6" t="s">
        <v>318</v>
      </c>
      <c r="KN3" s="6" t="s">
        <v>319</v>
      </c>
      <c r="KO3" s="6" t="s">
        <v>320</v>
      </c>
      <c r="KP3" s="6" t="s">
        <v>321</v>
      </c>
      <c r="KQ3" s="6" t="s">
        <v>322</v>
      </c>
      <c r="KR3" s="9" t="s">
        <v>323</v>
      </c>
      <c r="KS3" s="9" t="s">
        <v>324</v>
      </c>
    </row>
    <row r="4" ht="12.75" customHeight="1">
      <c r="A4" s="6"/>
      <c r="B4" s="6"/>
      <c r="C4" s="6"/>
      <c r="E4" s="11"/>
      <c r="F4" s="12"/>
      <c r="G4" s="6"/>
      <c r="H4" s="6"/>
      <c r="I4" s="6"/>
      <c r="R4" s="9" t="s">
        <v>325</v>
      </c>
      <c r="S4" s="6" t="s">
        <v>326</v>
      </c>
      <c r="T4" s="6" t="s">
        <v>327</v>
      </c>
      <c r="U4" s="6" t="s">
        <v>328</v>
      </c>
      <c r="V4" s="6" t="s">
        <v>329</v>
      </c>
      <c r="W4" s="6" t="s">
        <v>330</v>
      </c>
      <c r="X4" s="6" t="s">
        <v>331</v>
      </c>
      <c r="Y4" s="6" t="s">
        <v>332</v>
      </c>
      <c r="Z4" s="6" t="s">
        <v>333</v>
      </c>
      <c r="AA4" s="6" t="s">
        <v>334</v>
      </c>
      <c r="AB4" s="6" t="s">
        <v>335</v>
      </c>
      <c r="AC4" s="6" t="s">
        <v>336</v>
      </c>
      <c r="AD4" s="6" t="s">
        <v>337</v>
      </c>
      <c r="AE4" s="6" t="s">
        <v>338</v>
      </c>
      <c r="AF4" s="6" t="s">
        <v>339</v>
      </c>
      <c r="AG4" s="6" t="s">
        <v>340</v>
      </c>
      <c r="AH4" s="6" t="s">
        <v>341</v>
      </c>
      <c r="AI4" s="6" t="s">
        <v>342</v>
      </c>
      <c r="AJ4" s="6" t="s">
        <v>343</v>
      </c>
      <c r="AK4" s="6" t="s">
        <v>344</v>
      </c>
      <c r="AL4" s="6" t="s">
        <v>345</v>
      </c>
      <c r="AM4" s="6" t="s">
        <v>346</v>
      </c>
      <c r="AN4" s="6" t="s">
        <v>347</v>
      </c>
      <c r="AO4" s="6" t="s">
        <v>348</v>
      </c>
      <c r="AP4" s="6" t="s">
        <v>349</v>
      </c>
      <c r="AQ4" s="6" t="s">
        <v>350</v>
      </c>
      <c r="AR4" s="6" t="s">
        <v>351</v>
      </c>
      <c r="AS4" s="9" t="s">
        <v>352</v>
      </c>
      <c r="AT4" s="9" t="s">
        <v>353</v>
      </c>
      <c r="AU4" s="6" t="s">
        <v>88</v>
      </c>
      <c r="AV4" s="6" t="s">
        <v>89</v>
      </c>
      <c r="AW4" s="6" t="s">
        <v>90</v>
      </c>
      <c r="AX4" s="6" t="s">
        <v>91</v>
      </c>
      <c r="AY4" s="6" t="s">
        <v>92</v>
      </c>
      <c r="AZ4" s="6" t="s">
        <v>93</v>
      </c>
      <c r="BA4" s="6" t="s">
        <v>94</v>
      </c>
      <c r="BB4" s="6" t="s">
        <v>354</v>
      </c>
      <c r="BC4" s="6" t="s">
        <v>355</v>
      </c>
      <c r="BD4" s="6" t="s">
        <v>356</v>
      </c>
      <c r="BE4" s="6" t="s">
        <v>98</v>
      </c>
      <c r="BF4" s="6" t="s">
        <v>99</v>
      </c>
      <c r="BG4" s="6" t="s">
        <v>357</v>
      </c>
      <c r="BH4" s="6" t="s">
        <v>358</v>
      </c>
      <c r="BI4" s="6" t="s">
        <v>359</v>
      </c>
      <c r="BJ4" s="6" t="s">
        <v>360</v>
      </c>
      <c r="BK4" s="6" t="s">
        <v>361</v>
      </c>
      <c r="BL4" s="6" t="s">
        <v>362</v>
      </c>
      <c r="BM4" s="6" t="s">
        <v>363</v>
      </c>
      <c r="BN4" s="6" t="s">
        <v>364</v>
      </c>
      <c r="BO4" s="6" t="s">
        <v>365</v>
      </c>
      <c r="BP4" s="6" t="s">
        <v>109</v>
      </c>
      <c r="BQ4" s="6" t="s">
        <v>366</v>
      </c>
      <c r="BR4" s="6" t="s">
        <v>367</v>
      </c>
      <c r="BS4" s="6" t="s">
        <v>368</v>
      </c>
      <c r="BT4" s="6" t="s">
        <v>369</v>
      </c>
      <c r="BU4" s="6" t="s">
        <v>114</v>
      </c>
      <c r="BV4" s="6" t="s">
        <v>351</v>
      </c>
      <c r="BW4" s="6" t="s">
        <v>370</v>
      </c>
      <c r="BX4" s="9" t="s">
        <v>371</v>
      </c>
      <c r="BY4" s="9" t="s">
        <v>372</v>
      </c>
      <c r="BZ4" s="9" t="s">
        <v>373</v>
      </c>
      <c r="CA4" s="9" t="s">
        <v>374</v>
      </c>
      <c r="CB4" s="9" t="s">
        <v>375</v>
      </c>
      <c r="CC4" s="6" t="s">
        <v>114</v>
      </c>
      <c r="CD4" s="6" t="s">
        <v>376</v>
      </c>
      <c r="CE4" s="6" t="s">
        <v>122</v>
      </c>
      <c r="CF4" s="6" t="s">
        <v>123</v>
      </c>
      <c r="CG4" s="6" t="s">
        <v>124</v>
      </c>
      <c r="CH4" s="6" t="s">
        <v>125</v>
      </c>
      <c r="CI4" s="6" t="s">
        <v>126</v>
      </c>
      <c r="CJ4" s="6" t="s">
        <v>127</v>
      </c>
      <c r="CK4" s="6" t="s">
        <v>128</v>
      </c>
      <c r="CL4" s="6" t="s">
        <v>129</v>
      </c>
      <c r="CM4" s="6" t="s">
        <v>130</v>
      </c>
      <c r="CN4" s="6" t="s">
        <v>131</v>
      </c>
      <c r="CO4" s="6" t="s">
        <v>132</v>
      </c>
      <c r="CP4" s="6" t="s">
        <v>133</v>
      </c>
      <c r="CQ4" s="6" t="s">
        <v>134</v>
      </c>
      <c r="CR4" s="6" t="s">
        <v>135</v>
      </c>
      <c r="CS4" s="6" t="s">
        <v>136</v>
      </c>
      <c r="CT4" s="6" t="s">
        <v>137</v>
      </c>
      <c r="CU4" s="6" t="s">
        <v>138</v>
      </c>
      <c r="CV4" s="6" t="s">
        <v>139</v>
      </c>
      <c r="CW4" s="6" t="s">
        <v>140</v>
      </c>
      <c r="CX4" s="6" t="s">
        <v>141</v>
      </c>
      <c r="CY4" s="6" t="s">
        <v>142</v>
      </c>
      <c r="CZ4" s="6" t="s">
        <v>143</v>
      </c>
      <c r="DA4" s="6" t="s">
        <v>144</v>
      </c>
      <c r="DB4" s="6" t="s">
        <v>145</v>
      </c>
      <c r="DC4" s="6" t="s">
        <v>146</v>
      </c>
      <c r="DD4" s="6" t="s">
        <v>147</v>
      </c>
      <c r="DE4" s="6" t="s">
        <v>148</v>
      </c>
      <c r="DF4" s="6" t="s">
        <v>149</v>
      </c>
      <c r="DG4" s="6" t="s">
        <v>150</v>
      </c>
      <c r="DH4" s="6" t="s">
        <v>151</v>
      </c>
      <c r="DI4" s="6" t="s">
        <v>377</v>
      </c>
      <c r="DJ4" s="6" t="s">
        <v>378</v>
      </c>
      <c r="DK4" s="6" t="s">
        <v>379</v>
      </c>
      <c r="DL4" s="6" t="s">
        <v>155</v>
      </c>
      <c r="DM4" s="6" t="s">
        <v>156</v>
      </c>
      <c r="DN4" s="6" t="s">
        <v>380</v>
      </c>
      <c r="DO4" s="6" t="s">
        <v>381</v>
      </c>
      <c r="DP4" s="6" t="s">
        <v>159</v>
      </c>
      <c r="DQ4" s="6" t="s">
        <v>382</v>
      </c>
      <c r="DR4" s="6" t="s">
        <v>383</v>
      </c>
      <c r="DS4" s="6" t="s">
        <v>384</v>
      </c>
      <c r="DT4" s="6" t="s">
        <v>385</v>
      </c>
      <c r="DU4" s="6" t="s">
        <v>386</v>
      </c>
      <c r="DV4" s="6" t="s">
        <v>387</v>
      </c>
      <c r="DW4" s="6" t="s">
        <v>388</v>
      </c>
      <c r="DX4" s="6" t="s">
        <v>167</v>
      </c>
      <c r="DY4" s="6" t="s">
        <v>389</v>
      </c>
      <c r="DZ4" s="6" t="s">
        <v>390</v>
      </c>
      <c r="EA4" s="6" t="s">
        <v>391</v>
      </c>
      <c r="EB4" s="6" t="s">
        <v>392</v>
      </c>
      <c r="EC4" s="6" t="s">
        <v>393</v>
      </c>
      <c r="ED4" s="6" t="s">
        <v>394</v>
      </c>
      <c r="EE4" s="6" t="s">
        <v>395</v>
      </c>
      <c r="EF4" s="6" t="s">
        <v>175</v>
      </c>
      <c r="EG4" s="6" t="s">
        <v>396</v>
      </c>
      <c r="EH4" s="6" t="s">
        <v>177</v>
      </c>
      <c r="EI4" s="6" t="s">
        <v>178</v>
      </c>
      <c r="EJ4" s="9" t="s">
        <v>397</v>
      </c>
      <c r="EK4" s="6" t="s">
        <v>350</v>
      </c>
      <c r="EL4" s="6" t="s">
        <v>398</v>
      </c>
      <c r="EM4" s="6" t="s">
        <v>399</v>
      </c>
      <c r="EN4" s="6" t="s">
        <v>400</v>
      </c>
      <c r="EO4" s="6" t="s">
        <v>401</v>
      </c>
      <c r="EP4" s="6" t="s">
        <v>402</v>
      </c>
      <c r="EQ4" s="6" t="s">
        <v>403</v>
      </c>
      <c r="ER4" s="6" t="s">
        <v>404</v>
      </c>
      <c r="ES4" s="6" t="s">
        <v>405</v>
      </c>
      <c r="ET4" s="6" t="s">
        <v>406</v>
      </c>
      <c r="EU4" s="6" t="s">
        <v>398</v>
      </c>
      <c r="EV4" s="6" t="s">
        <v>407</v>
      </c>
      <c r="EW4" s="6" t="s">
        <v>408</v>
      </c>
      <c r="EX4" s="6" t="s">
        <v>409</v>
      </c>
      <c r="EY4" s="6" t="s">
        <v>410</v>
      </c>
      <c r="EZ4" s="6" t="s">
        <v>411</v>
      </c>
      <c r="FA4" s="6" t="s">
        <v>412</v>
      </c>
      <c r="FB4" s="6" t="s">
        <v>413</v>
      </c>
      <c r="FC4" s="6" t="s">
        <v>114</v>
      </c>
      <c r="FD4" s="6" t="s">
        <v>414</v>
      </c>
      <c r="FE4" s="6" t="s">
        <v>197</v>
      </c>
      <c r="FF4" s="9" t="s">
        <v>415</v>
      </c>
      <c r="FG4" s="6" t="s">
        <v>416</v>
      </c>
      <c r="FH4" s="9" t="s">
        <v>200</v>
      </c>
      <c r="FI4" s="9" t="s">
        <v>201</v>
      </c>
      <c r="FJ4" s="9" t="s">
        <v>202</v>
      </c>
      <c r="FK4" s="9" t="s">
        <v>203</v>
      </c>
      <c r="FL4" s="9" t="s">
        <v>204</v>
      </c>
      <c r="FM4" s="9" t="s">
        <v>205</v>
      </c>
      <c r="FN4" s="9" t="s">
        <v>206</v>
      </c>
      <c r="FO4" s="9" t="s">
        <v>207</v>
      </c>
      <c r="FP4" s="9" t="s">
        <v>208</v>
      </c>
      <c r="FQ4" s="9" t="s">
        <v>209</v>
      </c>
      <c r="FR4" s="9" t="s">
        <v>210</v>
      </c>
      <c r="FS4" s="9" t="s">
        <v>211</v>
      </c>
      <c r="FT4" s="9" t="s">
        <v>212</v>
      </c>
      <c r="FU4" s="6" t="s">
        <v>417</v>
      </c>
      <c r="FV4" s="9" t="s">
        <v>214</v>
      </c>
      <c r="FW4" s="9" t="s">
        <v>215</v>
      </c>
      <c r="FX4" s="9" t="s">
        <v>216</v>
      </c>
      <c r="FY4" s="9" t="s">
        <v>217</v>
      </c>
      <c r="FZ4" s="9" t="s">
        <v>218</v>
      </c>
      <c r="GA4" s="9" t="s">
        <v>219</v>
      </c>
      <c r="GB4" s="9" t="s">
        <v>220</v>
      </c>
      <c r="GC4" s="9" t="s">
        <v>221</v>
      </c>
      <c r="GD4" s="9" t="s">
        <v>222</v>
      </c>
      <c r="GE4" s="9" t="s">
        <v>223</v>
      </c>
      <c r="GF4" s="6" t="s">
        <v>224</v>
      </c>
      <c r="GG4" s="6" t="s">
        <v>225</v>
      </c>
      <c r="GH4" s="6" t="s">
        <v>226</v>
      </c>
      <c r="GI4" s="6" t="s">
        <v>227</v>
      </c>
      <c r="GJ4" s="6" t="s">
        <v>228</v>
      </c>
      <c r="GK4" s="6" t="s">
        <v>229</v>
      </c>
      <c r="GL4" s="6" t="s">
        <v>230</v>
      </c>
      <c r="GM4" s="6" t="s">
        <v>231</v>
      </c>
      <c r="GN4" s="6" t="s">
        <v>232</v>
      </c>
      <c r="GO4" s="6" t="s">
        <v>233</v>
      </c>
      <c r="GP4" s="6" t="s">
        <v>234</v>
      </c>
      <c r="GQ4" s="6" t="s">
        <v>418</v>
      </c>
      <c r="GR4" s="6" t="s">
        <v>419</v>
      </c>
      <c r="GS4" s="6" t="s">
        <v>420</v>
      </c>
      <c r="GT4" s="6" t="s">
        <v>421</v>
      </c>
      <c r="GU4" s="6" t="s">
        <v>422</v>
      </c>
      <c r="GV4" s="6" t="s">
        <v>423</v>
      </c>
      <c r="GW4" s="6" t="s">
        <v>424</v>
      </c>
      <c r="GX4" s="6" t="s">
        <v>425</v>
      </c>
      <c r="GY4" s="6" t="s">
        <v>426</v>
      </c>
      <c r="GZ4" s="6" t="s">
        <v>427</v>
      </c>
      <c r="HA4" s="6" t="s">
        <v>428</v>
      </c>
      <c r="HB4" s="6" t="s">
        <v>429</v>
      </c>
      <c r="HC4" s="6" t="s">
        <v>430</v>
      </c>
      <c r="HD4" s="6" t="s">
        <v>431</v>
      </c>
      <c r="HE4" s="6" t="s">
        <v>432</v>
      </c>
      <c r="HF4" s="6" t="s">
        <v>433</v>
      </c>
      <c r="HG4" s="6" t="s">
        <v>434</v>
      </c>
      <c r="HH4" s="6" t="s">
        <v>435</v>
      </c>
      <c r="HI4" s="9" t="s">
        <v>436</v>
      </c>
      <c r="HJ4" s="6" t="s">
        <v>437</v>
      </c>
      <c r="HK4" s="6" t="s">
        <v>438</v>
      </c>
      <c r="HL4" s="6" t="s">
        <v>439</v>
      </c>
      <c r="HM4" s="6" t="s">
        <v>440</v>
      </c>
      <c r="HN4" s="6" t="s">
        <v>258</v>
      </c>
      <c r="HO4" s="6" t="s">
        <v>259</v>
      </c>
      <c r="HP4" s="6" t="s">
        <v>441</v>
      </c>
      <c r="HQ4" s="6" t="s">
        <v>442</v>
      </c>
      <c r="HR4" s="6" t="s">
        <v>443</v>
      </c>
      <c r="HS4" s="6" t="s">
        <v>263</v>
      </c>
      <c r="HT4" s="6" t="s">
        <v>114</v>
      </c>
      <c r="HU4" s="6" t="s">
        <v>444</v>
      </c>
      <c r="HV4" s="6" t="s">
        <v>445</v>
      </c>
      <c r="HW4" s="6" t="s">
        <v>114</v>
      </c>
      <c r="HX4" s="6" t="s">
        <v>376</v>
      </c>
      <c r="HY4" s="6" t="s">
        <v>350</v>
      </c>
      <c r="HZ4" s="6" t="s">
        <v>370</v>
      </c>
      <c r="IA4" s="6" t="s">
        <v>267</v>
      </c>
      <c r="IB4" s="6" t="s">
        <v>268</v>
      </c>
      <c r="IC4" s="6" t="s">
        <v>269</v>
      </c>
      <c r="ID4" s="6" t="s">
        <v>270</v>
      </c>
      <c r="IE4" s="6" t="s">
        <v>271</v>
      </c>
      <c r="IF4" s="6" t="s">
        <v>272</v>
      </c>
      <c r="IG4" s="6" t="s">
        <v>273</v>
      </c>
      <c r="IH4" s="6" t="s">
        <v>274</v>
      </c>
      <c r="II4" s="6" t="s">
        <v>275</v>
      </c>
      <c r="IJ4" s="6" t="s">
        <v>276</v>
      </c>
      <c r="IK4" s="6" t="s">
        <v>277</v>
      </c>
      <c r="IL4" s="6" t="s">
        <v>278</v>
      </c>
      <c r="IM4" s="6" t="s">
        <v>446</v>
      </c>
      <c r="IN4" s="9" t="s">
        <v>280</v>
      </c>
      <c r="IO4" s="6" t="s">
        <v>114</v>
      </c>
      <c r="IP4" s="6" t="s">
        <v>376</v>
      </c>
      <c r="IQ4" s="6" t="s">
        <v>350</v>
      </c>
      <c r="IR4" s="6" t="s">
        <v>370</v>
      </c>
      <c r="IS4" s="6" t="s">
        <v>281</v>
      </c>
      <c r="IT4" s="6" t="s">
        <v>282</v>
      </c>
      <c r="IU4" s="6" t="s">
        <v>283</v>
      </c>
      <c r="IV4" s="6" t="s">
        <v>284</v>
      </c>
      <c r="IW4" s="6" t="s">
        <v>285</v>
      </c>
      <c r="IX4" s="6" t="s">
        <v>286</v>
      </c>
      <c r="IY4" s="6" t="s">
        <v>287</v>
      </c>
      <c r="IZ4" s="6" t="s">
        <v>288</v>
      </c>
      <c r="JA4" s="6" t="s">
        <v>289</v>
      </c>
      <c r="JB4" s="6" t="s">
        <v>290</v>
      </c>
      <c r="JC4" s="6" t="s">
        <v>291</v>
      </c>
      <c r="JD4" s="6" t="s">
        <v>292</v>
      </c>
      <c r="JE4" s="6" t="s">
        <v>447</v>
      </c>
      <c r="JF4" s="6" t="s">
        <v>448</v>
      </c>
      <c r="JG4" s="6" t="s">
        <v>114</v>
      </c>
      <c r="JH4" s="6" t="s">
        <v>376</v>
      </c>
      <c r="JI4" s="6" t="s">
        <v>370</v>
      </c>
      <c r="JJ4" s="6" t="s">
        <v>114</v>
      </c>
      <c r="JK4" s="6" t="s">
        <v>350</v>
      </c>
      <c r="JL4" s="6" t="s">
        <v>376</v>
      </c>
      <c r="JM4" s="6" t="s">
        <v>370</v>
      </c>
      <c r="JN4" s="6" t="s">
        <v>449</v>
      </c>
      <c r="JO4" s="6" t="s">
        <v>450</v>
      </c>
      <c r="JP4" s="6" t="s">
        <v>451</v>
      </c>
      <c r="JQ4" s="6" t="s">
        <v>452</v>
      </c>
      <c r="JR4" s="6" t="s">
        <v>453</v>
      </c>
      <c r="JS4" s="6" t="s">
        <v>454</v>
      </c>
      <c r="JT4" s="6" t="s">
        <v>455</v>
      </c>
      <c r="JU4" s="6" t="s">
        <v>456</v>
      </c>
      <c r="JV4" s="6" t="s">
        <v>457</v>
      </c>
      <c r="JW4" s="6" t="s">
        <v>458</v>
      </c>
      <c r="JX4" s="6" t="s">
        <v>459</v>
      </c>
      <c r="JY4" s="6" t="s">
        <v>306</v>
      </c>
      <c r="JZ4" s="6" t="s">
        <v>307</v>
      </c>
      <c r="KA4" s="6" t="s">
        <v>460</v>
      </c>
      <c r="KB4" s="6" t="s">
        <v>461</v>
      </c>
      <c r="KC4" s="6" t="s">
        <v>462</v>
      </c>
      <c r="KD4" s="6" t="s">
        <v>114</v>
      </c>
      <c r="KE4" s="6" t="s">
        <v>445</v>
      </c>
      <c r="KF4" s="6" t="s">
        <v>463</v>
      </c>
      <c r="KG4" s="6" t="s">
        <v>464</v>
      </c>
      <c r="KH4" s="6" t="s">
        <v>465</v>
      </c>
      <c r="KI4" s="6" t="s">
        <v>466</v>
      </c>
      <c r="KJ4" s="6" t="s">
        <v>467</v>
      </c>
      <c r="KK4" s="6" t="s">
        <v>468</v>
      </c>
      <c r="KL4" s="6" t="s">
        <v>317</v>
      </c>
      <c r="KM4" s="6" t="s">
        <v>469</v>
      </c>
      <c r="KN4" s="6" t="s">
        <v>470</v>
      </c>
      <c r="KO4" s="6" t="s">
        <v>471</v>
      </c>
      <c r="KP4" s="9" t="s">
        <v>472</v>
      </c>
      <c r="KQ4" s="9" t="s">
        <v>473</v>
      </c>
      <c r="KR4" s="9" t="s">
        <v>474</v>
      </c>
      <c r="KS4" s="9" t="s">
        <v>475</v>
      </c>
    </row>
    <row r="5" ht="12.75" customHeight="1">
      <c r="A5" s="6"/>
      <c r="B5" s="6"/>
      <c r="C5" s="6"/>
      <c r="D5" s="13" t="str">
        <f>VLOOKUP($F$9,$R$7:$BT$8,55,0)</f>
        <v>eSports</v>
      </c>
      <c r="E5" s="14"/>
      <c r="F5" s="8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9" t="s">
        <v>59</v>
      </c>
      <c r="S5" s="9" t="s">
        <v>476</v>
      </c>
      <c r="T5" s="9" t="s">
        <v>477</v>
      </c>
      <c r="U5" s="9" t="s">
        <v>58</v>
      </c>
      <c r="V5" s="9" t="s">
        <v>478</v>
      </c>
      <c r="W5" s="9" t="s">
        <v>479</v>
      </c>
      <c r="X5" s="9" t="s">
        <v>480</v>
      </c>
      <c r="Y5" s="9" t="s">
        <v>481</v>
      </c>
      <c r="Z5" s="9" t="s">
        <v>482</v>
      </c>
      <c r="AA5" s="9" t="s">
        <v>483</v>
      </c>
      <c r="AB5" s="9" t="s">
        <v>484</v>
      </c>
      <c r="AC5" s="9" t="s">
        <v>485</v>
      </c>
      <c r="AD5" s="9" t="s">
        <v>486</v>
      </c>
      <c r="AE5" s="9" t="s">
        <v>487</v>
      </c>
      <c r="AF5" s="9" t="s">
        <v>488</v>
      </c>
      <c r="AG5" s="9" t="s">
        <v>489</v>
      </c>
      <c r="AH5" s="9" t="s">
        <v>490</v>
      </c>
      <c r="AI5" s="9" t="s">
        <v>491</v>
      </c>
      <c r="AJ5" s="9" t="s">
        <v>492</v>
      </c>
      <c r="AK5" s="9" t="s">
        <v>493</v>
      </c>
      <c r="AL5" s="9" t="s">
        <v>494</v>
      </c>
      <c r="AM5" s="9" t="s">
        <v>495</v>
      </c>
      <c r="AN5" s="9" t="s">
        <v>496</v>
      </c>
      <c r="AO5" s="9" t="s">
        <v>497</v>
      </c>
      <c r="AP5" s="9" t="s">
        <v>498</v>
      </c>
      <c r="AQ5" s="9" t="s">
        <v>499</v>
      </c>
      <c r="AR5" s="9" t="s">
        <v>500</v>
      </c>
      <c r="AS5" s="9" t="s">
        <v>501</v>
      </c>
      <c r="AT5" s="9" t="s">
        <v>502</v>
      </c>
      <c r="AU5" s="9" t="s">
        <v>503</v>
      </c>
      <c r="AV5" s="9" t="s">
        <v>504</v>
      </c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</row>
    <row r="6" ht="12.75" customHeight="1">
      <c r="A6" s="6"/>
      <c r="B6" s="6"/>
      <c r="C6" s="6"/>
      <c r="E6" s="14"/>
      <c r="F6" s="8"/>
      <c r="G6" s="6"/>
      <c r="H6" s="6"/>
      <c r="I6" s="6"/>
      <c r="J6" s="6"/>
      <c r="K6" s="6"/>
      <c r="R6" s="9" t="s">
        <v>325</v>
      </c>
      <c r="S6" s="6" t="s">
        <v>505</v>
      </c>
      <c r="T6" s="6" t="s">
        <v>506</v>
      </c>
      <c r="U6" s="6" t="s">
        <v>507</v>
      </c>
      <c r="V6" s="6" t="s">
        <v>508</v>
      </c>
      <c r="W6" s="9" t="s">
        <v>509</v>
      </c>
      <c r="X6" s="9" t="s">
        <v>510</v>
      </c>
      <c r="Y6" s="9" t="s">
        <v>511</v>
      </c>
      <c r="Z6" s="9" t="s">
        <v>512</v>
      </c>
      <c r="AA6" s="9" t="s">
        <v>513</v>
      </c>
      <c r="AB6" s="9" t="s">
        <v>514</v>
      </c>
      <c r="AC6" s="9" t="s">
        <v>515</v>
      </c>
      <c r="AD6" s="9" t="s">
        <v>516</v>
      </c>
      <c r="AE6" s="9" t="s">
        <v>517</v>
      </c>
      <c r="AF6" s="9" t="s">
        <v>518</v>
      </c>
      <c r="AG6" s="9" t="s">
        <v>519</v>
      </c>
      <c r="AH6" s="9" t="s">
        <v>520</v>
      </c>
      <c r="AI6" s="9" t="s">
        <v>521</v>
      </c>
      <c r="AJ6" s="9" t="s">
        <v>522</v>
      </c>
      <c r="AK6" s="9" t="s">
        <v>523</v>
      </c>
      <c r="AL6" s="9" t="s">
        <v>524</v>
      </c>
      <c r="AM6" s="9" t="s">
        <v>525</v>
      </c>
      <c r="AN6" s="9" t="s">
        <v>526</v>
      </c>
      <c r="AO6" s="9" t="s">
        <v>527</v>
      </c>
      <c r="AP6" s="9" t="s">
        <v>528</v>
      </c>
      <c r="AQ6" s="9" t="s">
        <v>529</v>
      </c>
      <c r="AR6" s="9" t="s">
        <v>530</v>
      </c>
      <c r="AS6" s="9" t="s">
        <v>531</v>
      </c>
      <c r="AT6" s="9" t="s">
        <v>532</v>
      </c>
      <c r="AU6" s="9" t="s">
        <v>533</v>
      </c>
      <c r="AV6" s="9" t="s">
        <v>534</v>
      </c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</row>
    <row r="7" ht="13.5" customHeight="1">
      <c r="A7" s="6"/>
      <c r="B7" s="6"/>
      <c r="C7" s="6"/>
      <c r="D7" s="15"/>
      <c r="E7" s="14"/>
      <c r="F7" s="8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9" t="s">
        <v>59</v>
      </c>
      <c r="S7" s="9" t="s">
        <v>535</v>
      </c>
      <c r="T7" s="9" t="s">
        <v>536</v>
      </c>
      <c r="U7" s="9" t="s">
        <v>537</v>
      </c>
      <c r="V7" s="9" t="s">
        <v>120</v>
      </c>
      <c r="W7" s="9" t="s">
        <v>538</v>
      </c>
      <c r="X7" s="9" t="s">
        <v>118</v>
      </c>
      <c r="Y7" s="9" t="s">
        <v>117</v>
      </c>
      <c r="Z7" s="9" t="s">
        <v>135</v>
      </c>
      <c r="AA7" s="9" t="s">
        <v>150</v>
      </c>
      <c r="AB7" s="9" t="s">
        <v>539</v>
      </c>
      <c r="AC7" s="9" t="s">
        <v>540</v>
      </c>
      <c r="AD7" s="9" t="s">
        <v>541</v>
      </c>
      <c r="AE7" s="9" t="s">
        <v>542</v>
      </c>
      <c r="AF7" s="9" t="s">
        <v>543</v>
      </c>
      <c r="AG7" s="9" t="s">
        <v>544</v>
      </c>
      <c r="AH7" s="9" t="s">
        <v>545</v>
      </c>
      <c r="AI7" s="9" t="s">
        <v>546</v>
      </c>
      <c r="AJ7" s="9" t="s">
        <v>547</v>
      </c>
      <c r="AK7" s="9" t="s">
        <v>179</v>
      </c>
      <c r="AL7" s="9" t="s">
        <v>548</v>
      </c>
      <c r="AM7" s="9" t="s">
        <v>549</v>
      </c>
      <c r="AN7" s="9" t="s">
        <v>197</v>
      </c>
      <c r="AO7" s="9" t="s">
        <v>550</v>
      </c>
      <c r="AP7" s="9" t="s">
        <v>551</v>
      </c>
      <c r="AQ7" s="9" t="s">
        <v>119</v>
      </c>
      <c r="AR7" s="9" t="s">
        <v>198</v>
      </c>
      <c r="AS7" s="9" t="s">
        <v>552</v>
      </c>
      <c r="AT7" s="9" t="s">
        <v>553</v>
      </c>
      <c r="AU7" s="9" t="s">
        <v>554</v>
      </c>
      <c r="AV7" s="9" t="s">
        <v>555</v>
      </c>
      <c r="AW7" s="9" t="s">
        <v>556</v>
      </c>
      <c r="AX7" s="9" t="s">
        <v>557</v>
      </c>
      <c r="AY7" s="9" t="s">
        <v>558</v>
      </c>
      <c r="AZ7" s="9" t="s">
        <v>559</v>
      </c>
      <c r="BA7" s="9" t="s">
        <v>280</v>
      </c>
      <c r="BB7" s="9" t="s">
        <v>560</v>
      </c>
      <c r="BC7" s="9" t="s">
        <v>121</v>
      </c>
      <c r="BD7" s="9" t="s">
        <v>561</v>
      </c>
      <c r="BE7" s="9" t="s">
        <v>562</v>
      </c>
      <c r="BF7" s="9" t="s">
        <v>563</v>
      </c>
      <c r="BG7" s="9" t="s">
        <v>564</v>
      </c>
      <c r="BH7" s="9" t="s">
        <v>565</v>
      </c>
      <c r="BI7" s="9" t="s">
        <v>566</v>
      </c>
      <c r="BJ7" s="9" t="s">
        <v>567</v>
      </c>
      <c r="BK7" s="9" t="s">
        <v>568</v>
      </c>
      <c r="BL7" s="9" t="s">
        <v>569</v>
      </c>
      <c r="BM7" s="9" t="s">
        <v>570</v>
      </c>
      <c r="BN7" s="9" t="s">
        <v>571</v>
      </c>
      <c r="BO7" s="9" t="s">
        <v>322</v>
      </c>
      <c r="BP7" s="9" t="s">
        <v>321</v>
      </c>
      <c r="BQ7" s="9" t="s">
        <v>572</v>
      </c>
      <c r="BR7" s="9" t="s">
        <v>573</v>
      </c>
      <c r="BS7" s="9" t="s">
        <v>574</v>
      </c>
      <c r="BT7" s="9" t="s">
        <v>575</v>
      </c>
      <c r="BU7" s="9" t="s">
        <v>576</v>
      </c>
      <c r="BV7" s="5" t="s">
        <v>577</v>
      </c>
    </row>
    <row r="8" ht="13.5" customHeight="1">
      <c r="A8" s="6"/>
      <c r="B8" s="6"/>
      <c r="C8" s="6"/>
      <c r="D8" s="6"/>
      <c r="E8" s="8"/>
      <c r="F8" s="8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9" t="s">
        <v>325</v>
      </c>
      <c r="S8" s="9" t="s">
        <v>578</v>
      </c>
      <c r="T8" s="9" t="s">
        <v>579</v>
      </c>
      <c r="U8" s="9" t="s">
        <v>580</v>
      </c>
      <c r="V8" s="9" t="s">
        <v>374</v>
      </c>
      <c r="W8" s="9" t="s">
        <v>581</v>
      </c>
      <c r="X8" s="9" t="s">
        <v>372</v>
      </c>
      <c r="Y8" s="9" t="s">
        <v>371</v>
      </c>
      <c r="Z8" s="9" t="s">
        <v>135</v>
      </c>
      <c r="AA8" s="9" t="s">
        <v>150</v>
      </c>
      <c r="AB8" s="9" t="s">
        <v>582</v>
      </c>
      <c r="AC8" s="9" t="s">
        <v>540</v>
      </c>
      <c r="AD8" s="9" t="s">
        <v>583</v>
      </c>
      <c r="AE8" s="9" t="s">
        <v>584</v>
      </c>
      <c r="AF8" s="9" t="s">
        <v>585</v>
      </c>
      <c r="AG8" s="9" t="s">
        <v>586</v>
      </c>
      <c r="AH8" s="9" t="s">
        <v>587</v>
      </c>
      <c r="AI8" s="9" t="s">
        <v>588</v>
      </c>
      <c r="AJ8" s="9" t="s">
        <v>589</v>
      </c>
      <c r="AK8" s="9" t="s">
        <v>397</v>
      </c>
      <c r="AL8" s="9" t="s">
        <v>590</v>
      </c>
      <c r="AM8" s="9" t="s">
        <v>591</v>
      </c>
      <c r="AN8" s="9" t="s">
        <v>197</v>
      </c>
      <c r="AO8" s="9" t="s">
        <v>592</v>
      </c>
      <c r="AP8" s="9" t="s">
        <v>593</v>
      </c>
      <c r="AQ8" s="9" t="s">
        <v>373</v>
      </c>
      <c r="AR8" s="9" t="s">
        <v>415</v>
      </c>
      <c r="AS8" s="9" t="s">
        <v>552</v>
      </c>
      <c r="AT8" s="9" t="s">
        <v>553</v>
      </c>
      <c r="AU8" s="9" t="s">
        <v>594</v>
      </c>
      <c r="AV8" s="9" t="s">
        <v>595</v>
      </c>
      <c r="AW8" s="9" t="s">
        <v>353</v>
      </c>
      <c r="AX8" s="9" t="s">
        <v>596</v>
      </c>
      <c r="AY8" s="9" t="s">
        <v>597</v>
      </c>
      <c r="AZ8" s="9" t="s">
        <v>598</v>
      </c>
      <c r="BA8" s="9" t="s">
        <v>280</v>
      </c>
      <c r="BB8" s="9" t="s">
        <v>599</v>
      </c>
      <c r="BC8" s="9" t="s">
        <v>375</v>
      </c>
      <c r="BD8" s="9" t="s">
        <v>600</v>
      </c>
      <c r="BE8" s="9" t="s">
        <v>562</v>
      </c>
      <c r="BF8" s="9" t="s">
        <v>563</v>
      </c>
      <c r="BG8" s="9" t="s">
        <v>601</v>
      </c>
      <c r="BH8" s="9" t="s">
        <v>602</v>
      </c>
      <c r="BI8" s="9" t="s">
        <v>603</v>
      </c>
      <c r="BJ8" s="9" t="s">
        <v>604</v>
      </c>
      <c r="BK8" s="9" t="s">
        <v>605</v>
      </c>
      <c r="BL8" s="9" t="s">
        <v>569</v>
      </c>
      <c r="BM8" s="9" t="s">
        <v>606</v>
      </c>
      <c r="BN8" s="9" t="s">
        <v>607</v>
      </c>
      <c r="BO8" s="9" t="s">
        <v>473</v>
      </c>
      <c r="BP8" s="9" t="s">
        <v>472</v>
      </c>
      <c r="BQ8" s="9" t="s">
        <v>608</v>
      </c>
      <c r="BR8" s="9" t="s">
        <v>352</v>
      </c>
      <c r="BS8" s="9" t="s">
        <v>609</v>
      </c>
      <c r="BT8" s="9" t="s">
        <v>575</v>
      </c>
      <c r="BU8" s="9" t="s">
        <v>610</v>
      </c>
      <c r="BV8" s="5" t="s">
        <v>611</v>
      </c>
    </row>
    <row r="9" ht="17.25" customHeight="1">
      <c r="A9" s="6"/>
      <c r="B9" s="16" t="str">
        <f>VLOOKUP($F$9,$R$7:$BV$8,57,0)</f>
        <v>Datos del Atleta</v>
      </c>
      <c r="C9" s="17"/>
      <c r="D9" s="17"/>
      <c r="E9" s="8"/>
      <c r="F9" s="18" t="s">
        <v>59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9"/>
    </row>
    <row r="10" ht="45.0" customHeight="1">
      <c r="A10" s="6"/>
      <c r="B10" s="19" t="s">
        <v>612</v>
      </c>
      <c r="C10" s="20" t="str">
        <f>VLOOKUP($F$9,$R$5:$Z$6,2,0)</f>
        <v>Apellido</v>
      </c>
      <c r="D10" s="20" t="str">
        <f>VLOOKUP($F$9,$R$5:$Z$6,3,0)</f>
        <v>Nombre</v>
      </c>
      <c r="E10" s="20" t="str">
        <f>VLOOKUP($F$9,$R$5:$Z$6,4,0)</f>
        <v>Genero</v>
      </c>
      <c r="F10" s="20" t="str">
        <f>VLOOKUP($F$9,$R$5:$Z$6,5,0)</f>
        <v>Evento Deportivo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9"/>
    </row>
    <row r="11" ht="13.5" customHeight="1">
      <c r="A11" s="21"/>
      <c r="B11" s="22">
        <v>1.0</v>
      </c>
      <c r="C11" s="23"/>
      <c r="D11" s="23"/>
      <c r="E11" s="24"/>
      <c r="F11" s="24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9"/>
      <c r="S11" s="9" t="s">
        <v>613</v>
      </c>
      <c r="T11" s="9" t="s">
        <v>614</v>
      </c>
      <c r="U11" s="9" t="s">
        <v>615</v>
      </c>
      <c r="V11" s="9" t="s">
        <v>616</v>
      </c>
      <c r="W11" s="9" t="s">
        <v>617</v>
      </c>
      <c r="X11" s="9" t="s">
        <v>618</v>
      </c>
      <c r="Y11" s="9" t="s">
        <v>619</v>
      </c>
      <c r="Z11" s="9" t="s">
        <v>620</v>
      </c>
      <c r="AA11" s="9" t="s">
        <v>621</v>
      </c>
      <c r="AB11" s="9" t="s">
        <v>622</v>
      </c>
      <c r="AC11" s="9" t="s">
        <v>623</v>
      </c>
      <c r="AD11" s="9" t="s">
        <v>624</v>
      </c>
      <c r="AE11" s="9" t="s">
        <v>625</v>
      </c>
      <c r="AF11" s="9" t="s">
        <v>626</v>
      </c>
      <c r="AG11" s="9" t="s">
        <v>627</v>
      </c>
      <c r="AH11" s="9" t="s">
        <v>628</v>
      </c>
      <c r="AI11" s="9" t="s">
        <v>629</v>
      </c>
      <c r="AJ11" s="9" t="s">
        <v>630</v>
      </c>
      <c r="AK11" s="9" t="s">
        <v>631</v>
      </c>
      <c r="AL11" s="9" t="s">
        <v>632</v>
      </c>
      <c r="AM11" s="9" t="s">
        <v>633</v>
      </c>
      <c r="AN11" s="9" t="s">
        <v>634</v>
      </c>
      <c r="AO11" s="9" t="s">
        <v>635</v>
      </c>
      <c r="AP11" s="9" t="s">
        <v>636</v>
      </c>
      <c r="AQ11" s="9" t="s">
        <v>637</v>
      </c>
      <c r="AR11" s="9" t="s">
        <v>638</v>
      </c>
      <c r="AS11" s="9" t="s">
        <v>639</v>
      </c>
      <c r="AT11" s="9" t="s">
        <v>640</v>
      </c>
      <c r="AU11" s="9" t="s">
        <v>641</v>
      </c>
      <c r="AV11" s="9" t="s">
        <v>642</v>
      </c>
      <c r="AW11" s="9" t="s">
        <v>643</v>
      </c>
      <c r="AX11" s="9" t="s">
        <v>644</v>
      </c>
      <c r="AY11" s="9" t="s">
        <v>645</v>
      </c>
      <c r="AZ11" s="9" t="s">
        <v>646</v>
      </c>
      <c r="BA11" s="9" t="s">
        <v>647</v>
      </c>
      <c r="BB11" s="9" t="s">
        <v>648</v>
      </c>
      <c r="BC11" s="9" t="s">
        <v>649</v>
      </c>
      <c r="BD11" s="9" t="s">
        <v>650</v>
      </c>
      <c r="BE11" s="9" t="s">
        <v>651</v>
      </c>
      <c r="BF11" s="9" t="s">
        <v>652</v>
      </c>
      <c r="BG11" s="9" t="s">
        <v>653</v>
      </c>
      <c r="BH11" s="9" t="s">
        <v>654</v>
      </c>
      <c r="BI11" s="9" t="s">
        <v>655</v>
      </c>
      <c r="BJ11" s="9" t="s">
        <v>656</v>
      </c>
      <c r="BK11" s="9" t="s">
        <v>657</v>
      </c>
      <c r="BL11" s="9" t="s">
        <v>658</v>
      </c>
      <c r="BM11" s="9" t="s">
        <v>659</v>
      </c>
      <c r="BN11" s="9" t="s">
        <v>660</v>
      </c>
      <c r="BO11" s="9" t="s">
        <v>661</v>
      </c>
      <c r="BP11" s="9" t="s">
        <v>662</v>
      </c>
      <c r="BQ11" s="9" t="s">
        <v>663</v>
      </c>
      <c r="BR11" s="9" t="s">
        <v>664</v>
      </c>
      <c r="BS11" s="9" t="s">
        <v>665</v>
      </c>
      <c r="BT11" s="9" t="s">
        <v>666</v>
      </c>
      <c r="BU11" s="5" t="s">
        <v>667</v>
      </c>
    </row>
    <row r="12" ht="13.5" customHeight="1">
      <c r="A12" s="6"/>
      <c r="B12" s="25">
        <v>2.0</v>
      </c>
      <c r="C12" s="26"/>
      <c r="D12" s="26"/>
      <c r="E12" s="27"/>
      <c r="F12" s="24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9"/>
      <c r="S12" s="6" t="str">
        <f>VLOOKUP($F$9,$R$3:$KQ$4,257,0)</f>
        <v>Recurvo Individual</v>
      </c>
      <c r="T12" s="6" t="str">
        <f>VLOOKUP($F$9,$R$3:$KQ$4,200,0)</f>
        <v>Libre</v>
      </c>
      <c r="U12" s="6" t="str">
        <f>VLOOKUP($F$9,$R$3:$KQ$4,30,0)</f>
        <v>100m</v>
      </c>
      <c r="V12" s="6" t="str">
        <f>VLOOKUP($F$9,$R$3:$KQ$4,62,0)</f>
        <v>Béisbol</v>
      </c>
      <c r="W12" s="6" t="str">
        <f>VLOOKUP($F$9,$R$3:$KQ$4,56,0)</f>
        <v>Individual</v>
      </c>
      <c r="X12" s="6" t="str">
        <f>VLOOKUP($F$9,$R$3:$KQ$4,60,0)</f>
        <v>Básquetbol 3x3</v>
      </c>
      <c r="Y12" s="6" t="str">
        <f>VLOOKUP($F$9,$R$3:$KQ$4,59,0)</f>
        <v>Básquetbol</v>
      </c>
      <c r="Z12" s="6" t="str">
        <f>VLOOKUP($F$9,$R$3:$KQ$4,79,0)</f>
        <v>Breaking</v>
      </c>
      <c r="AA12" s="6" t="str">
        <f>VLOOKUP($F$9,$R$3:$KQ$4,93,0)</f>
        <v>BMX Freestyle</v>
      </c>
      <c r="AB12" s="6" t="str">
        <f>VLOOKUP($F$9,$R$3:$KQ$4,257,0)</f>
        <v>Recurvo Individual</v>
      </c>
      <c r="AC12" s="6" t="str">
        <f>VLOOKUP($F$9,$R$3:$KQ$4,64,0)</f>
        <v>Individual</v>
      </c>
      <c r="AD12" s="6" t="str">
        <f>VLOOKUP($F$9,$R$3:$KQ$4,110,0)</f>
        <v>Velocidad</v>
      </c>
      <c r="AE12" s="6" t="str">
        <f>VLOOKUP($F$9,$R$3:$KQ$4,96,0)</f>
        <v>Contrareloj</v>
      </c>
      <c r="AF12" s="6" t="str">
        <f>VLOOKUP($F$9,$R$3:$KQ$4,90,0)</f>
        <v>K1</v>
      </c>
      <c r="AG12" s="6" t="str">
        <f>VLOOKUP($F$9,$R$3:$KQ$4,80,0)</f>
        <v>MK1 1,000m</v>
      </c>
      <c r="AH12" s="6" t="str">
        <f>VLOOKUP($F$9,$R$3:$KQ$4,98,0)</f>
        <v>Velocidad Individual</v>
      </c>
      <c r="AI12" s="6" t="str">
        <f>VLOOKUP($F$9,$R$3:$KQ$4,2,0)</f>
        <v>Individual 1m Trampolín</v>
      </c>
      <c r="AJ12" s="6" t="str">
        <f>VLOOKUP($F$9,$R$3:$KQ$4,104,0)</f>
        <v>Adiestramiento Individual</v>
      </c>
      <c r="AK12" s="6" t="str">
        <f>VLOOKUP($F$9,$R$3:$KQ$4,123,0)</f>
        <v>Fútbol</v>
      </c>
      <c r="AL12" s="6" t="str">
        <f>VLOOKUP($F$9,$R$3:$KQ$4,112,0)</f>
        <v>Espada Individual</v>
      </c>
      <c r="AM12" s="6" t="str">
        <f>VLOOKUP($F$9,$R$3:$KQ$4,124,0)</f>
        <v>Equipos</v>
      </c>
      <c r="AN12" s="6" t="str">
        <f>VLOOKUP($F$9,$R$3:$KQ$4,144,0)</f>
        <v>Golf</v>
      </c>
      <c r="AO12" s="6" t="str">
        <f>VLOOKUP($F$9,$R$3:$KQ$4,134,0)</f>
        <v>General Individual</v>
      </c>
      <c r="AP12" s="6" t="str">
        <f>VLOOKUP($F$9,$R$3:$KQ$4,142,0)</f>
        <v>Individual</v>
      </c>
      <c r="AQ12" s="6" t="str">
        <f>VLOOKUP($F$9,$R$3:$KQ$4,61,0)</f>
        <v>Balonmano</v>
      </c>
      <c r="AR12" s="6" t="str">
        <f>VLOOKUP($F$9,$R$3:$KQ$4,145,0)</f>
        <v>Hockey Césped</v>
      </c>
      <c r="AS12" s="6" t="str">
        <f>VLOOKUP($F$9,$R$3:$KQ$4,146,0)</f>
        <v>M -60 Kg</v>
      </c>
      <c r="AT12" s="6" t="str">
        <f>VLOOKUP($F$9,$R$3:$KQ$4,161,0)</f>
        <v>Kumite M -60 Kg</v>
      </c>
      <c r="AU12" s="6" t="str">
        <f>VLOOKUP($F$9,$R$3:$KQ$4,211,0)</f>
        <v>Individual</v>
      </c>
      <c r="AV12" s="6" t="str">
        <f>VLOOKUP($F$9,$R$3:$KQ$4,95,0)</f>
        <v>Cross-Country</v>
      </c>
      <c r="AW12" s="6" t="str">
        <f>VLOOKUP($F$9,$R$3:$KQ$4,29,0)</f>
        <v>Aguas Abiertas</v>
      </c>
      <c r="AX12" s="6" t="str">
        <f>VLOOKUP($F$9,$R$3:$KQ$4,207,0)</f>
        <v>Pelota goma – Dobles Trinquete</v>
      </c>
      <c r="AY12" s="6" t="str">
        <f>VLOOKUP($F$9,$R$3:$KQ$4,218,0)</f>
        <v>M1x</v>
      </c>
      <c r="AZ12" s="6" t="str">
        <f>VLOOKUP($F$9,$R$3:$KQ$4,214,0)</f>
        <v>Individual</v>
      </c>
      <c r="BA12" s="6" t="str">
        <f>VLOOKUP($F$9,$R$3:$KQ$4,231,0)</f>
        <v>Rugby 7</v>
      </c>
      <c r="BB12" s="6" t="str">
        <f>VLOOKUP($F$9,$R$3:$KQ$4,275,0)</f>
        <v>Tabla A Vela (Iqfoil)</v>
      </c>
      <c r="BC12" s="6" t="str">
        <f>VLOOKUP($F$9,$R$3:$KQ$4,63,0)</f>
        <v>Sóftbol</v>
      </c>
      <c r="BD12" s="6" t="str">
        <f>VLOOKUP($F$9,$R$3:$KQ$4,263,0)</f>
        <v>Rifle 50m 3 Posiciones</v>
      </c>
      <c r="BE12" s="6" t="str">
        <f>VLOOKUP($F$9,$R$3:$KQ$4,205,0)</f>
        <v>Street</v>
      </c>
      <c r="BF12" s="6" t="str">
        <f>VLOOKUP($F$9,$R$3:$KQ$4,232,0)</f>
        <v>Individual</v>
      </c>
      <c r="BG12" s="6" t="str">
        <f>VLOOKUP($F$9,$R$3:$KQ$4,236,0)</f>
        <v>Shortboard</v>
      </c>
      <c r="BH12" s="6" t="str">
        <f>VLOOKUP($F$9,$R$3:$KQ$4,201,0)</f>
        <v>200m Meta Contra Meta</v>
      </c>
      <c r="BI12" s="6" t="str">
        <f>VLOOKUP($F$9,$R$3:$KQ$4,27,0)</f>
        <v>Duetos</v>
      </c>
      <c r="BJ12" s="6" t="str">
        <f>VLOOKUP($F$9,$R$3:$KQ$4,7,0)</f>
        <v>50m libre</v>
      </c>
      <c r="BK12" s="6" t="str">
        <f>VLOOKUP($F$9,$R$3:$KQ$4,250,0)</f>
        <v>Individual</v>
      </c>
      <c r="BL12" s="6" t="str">
        <f>VLOOKUP($F$9,$R$3:$KQ$4,240,0)</f>
        <v>M Kyorugi -58 Kg</v>
      </c>
      <c r="BM12" s="6" t="str">
        <f>VLOOKUP($F$9,$R$3:$KQ$4,273,0)</f>
        <v>Individual</v>
      </c>
      <c r="BN12" s="6" t="str">
        <f>VLOOKUP($F$9,$R$3:$KQ$4,253,0)</f>
        <v>Individual</v>
      </c>
      <c r="BO12" s="6" t="str">
        <f>VLOOKUP($F$9,$R$3:$KQ$4,286,0)</f>
        <v>Vóleibol Playa</v>
      </c>
      <c r="BP12" s="6" t="str">
        <f>VLOOKUP($F$9,$R$3:$KQ$4,285,0)</f>
        <v>Vóleibol</v>
      </c>
      <c r="BQ12" s="6" t="str">
        <f>VLOOKUP($F$9,$R$3:$KQ$4,172,0)</f>
        <v>M 61 Kg</v>
      </c>
      <c r="BR12" s="6" t="str">
        <f>VLOOKUP($F$9,$R$3:$KQ$4,28,0)</f>
        <v>Polo Acuático</v>
      </c>
      <c r="BS12" s="6" t="str">
        <f>VLOOKUP($F$9,$R$3:$KQ$4,182,0)</f>
        <v>Grecoromana 60 Kg</v>
      </c>
      <c r="BT12" s="9" t="s">
        <v>668</v>
      </c>
      <c r="BU12" s="6" t="str">
        <f>VLOOKUP($F$9,$R$3:$KS$4,287,0)</f>
        <v>Masculino</v>
      </c>
    </row>
    <row r="13" ht="13.5" customHeight="1">
      <c r="A13" s="6"/>
      <c r="B13" s="22">
        <v>3.0</v>
      </c>
      <c r="C13" s="28"/>
      <c r="D13" s="28"/>
      <c r="E13" s="29"/>
      <c r="F13" s="30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9"/>
      <c r="S13" s="6" t="str">
        <f>VLOOKUP($F$9,$R$3:$KQ$4,258,0)</f>
        <v>Individual Compuesto</v>
      </c>
      <c r="U13" s="6" t="str">
        <f>VLOOKUP($F$9,$R$3:$KQ$4,31,0)</f>
        <v>200m</v>
      </c>
      <c r="W13" s="6" t="str">
        <f>VLOOKUP($F$9,$R$3:$KQ$4,57,0)</f>
        <v>Dobles</v>
      </c>
      <c r="AC13" s="6" t="str">
        <f>VLOOKUP($F$9,$R$3:$KQ$4,65,0)</f>
        <v>Dobles</v>
      </c>
      <c r="AD13" s="6" t="str">
        <f>VLOOKUP($F$9,$R$3:$KQ$4,111,0)</f>
        <v>Boulder &amp; Lead</v>
      </c>
      <c r="AE13" s="6" t="str">
        <f>VLOOKUP($F$9,$R$3:$KQ$4,97,0)</f>
        <v>Gran Fondo</v>
      </c>
      <c r="AF13" s="6" t="str">
        <f>VLOOKUP($F$9,$R$3:$KQ$4,91,0)</f>
        <v>C1</v>
      </c>
      <c r="AG13" s="6" t="str">
        <f>VLOOKUP($F$9,$R$3:$KQ$4,81,0)</f>
        <v>MK2 500m</v>
      </c>
      <c r="AH13" s="6" t="str">
        <f>VLOOKUP($F$9,$R$3:$KQ$4,99,0)</f>
        <v>Keirin</v>
      </c>
      <c r="AI13" s="6" t="str">
        <f>VLOOKUP($F$9,$R$3:$KQ$4,3,0)</f>
        <v>Individual 3m Trampolín</v>
      </c>
      <c r="AJ13" s="6" t="str">
        <f>VLOOKUP($F$9,$R$3:$KQ$4,105,0)</f>
        <v>Adiestramiento Equipos</v>
      </c>
      <c r="AL13" s="6" t="str">
        <f>VLOOKUP($F$9,$R$3:$KQ$4,113,0)</f>
        <v>Florete Individual</v>
      </c>
      <c r="AM13" s="6" t="str">
        <f>VLOOKUP($F$9,$R$3:$KQ$4,125,0)</f>
        <v>Individual General</v>
      </c>
      <c r="AO13" s="6" t="str">
        <f>VLOOKUP($F$9,$R$3:$KQ$4,135,0)</f>
        <v>Aro</v>
      </c>
      <c r="AP13" s="6" t="str">
        <f>VLOOKUP($F$9,$R$3:$KQ$4,143,0)</f>
        <v>Sincronizados</v>
      </c>
      <c r="AS13" s="6" t="str">
        <f>VLOOKUP($F$9,$R$3:$KQ$4,147,0)</f>
        <v>M -66 Kg</v>
      </c>
      <c r="AT13" s="6" t="str">
        <f>VLOOKUP($F$9,$R$3:$KQ$4,162,0)</f>
        <v>Kumite M -67 Kg</v>
      </c>
      <c r="AU13" s="6" t="str">
        <f>VLOOKUP($F$9,$R$3:$KQ$4,212,0)</f>
        <v>Relevos</v>
      </c>
      <c r="AX13" s="6" t="str">
        <f>VLOOKUP($F$9,$R$3:$KQ$4,208,0)</f>
        <v>Pelota goma – Individual (Frontón)</v>
      </c>
      <c r="AY13" s="6" t="str">
        <f>VLOOKUP($F$9,$R$3:$KQ$4,219,0)</f>
        <v>M2x</v>
      </c>
      <c r="AZ13" s="6" t="str">
        <f>VLOOKUP($F$9,$R$3:$KQ$4,215,0)</f>
        <v>Dobles</v>
      </c>
      <c r="BB13" s="6" t="str">
        <f>VLOOKUP($F$9,$R$3:$KQ$4,276,0)</f>
        <v>Bote (Ilca 7)</v>
      </c>
      <c r="BD13" s="6" t="str">
        <f>VLOOKUP($F$9,$R$3:$KQ$4,264,0)</f>
        <v>10m Rifle De Aire</v>
      </c>
      <c r="BE13" s="6" t="str">
        <f>VLOOKUP($F$9,$R$3:$KQ$4,206,0)</f>
        <v>Park</v>
      </c>
      <c r="BF13" s="6" t="str">
        <f>VLOOKUP($F$9,$R$3:$KQ$4,233,0)</f>
        <v>Equipos</v>
      </c>
      <c r="BG13" s="6" t="str">
        <f>VLOOKUP($F$9,$R$3:$KQ$4,237,0)</f>
        <v>Sup Surf</v>
      </c>
      <c r="BH13" s="6" t="str">
        <f>VLOOKUP($F$9,$R$3:$KQ$4,202,0)</f>
        <v>500m + Distancia</v>
      </c>
      <c r="BI13" s="6" t="str">
        <f>VLOOKUP($F$9,$R$3:$KQ$4,26,0)</f>
        <v>Equipos</v>
      </c>
      <c r="BJ13" s="6" t="str">
        <f>VLOOKUP($F$9,$R$3:$KQ$4,8,0)</f>
        <v>100m libre</v>
      </c>
      <c r="BK13" s="6" t="str">
        <f>VLOOKUP($F$9,$R$3:$KQ$4,251,0)</f>
        <v>Dobles</v>
      </c>
      <c r="BL13" s="6" t="str">
        <f>VLOOKUP($F$9,$R$3:$KQ$4,241,0)</f>
        <v>M Kyorugi -68 Kg</v>
      </c>
      <c r="BM13" s="6" t="str">
        <f>VLOOKUP($F$9,$R$3:$KQ$4,274,0)</f>
        <v>Relevos Mixtos</v>
      </c>
      <c r="BN13" s="6" t="str">
        <f>VLOOKUP($F$9,$R$3:$KQ$4,254,0)</f>
        <v>Equipos</v>
      </c>
      <c r="BQ13" s="6" t="str">
        <f>VLOOKUP($F$9,$R$3:$KQ$4,173,0)</f>
        <v>M 73 Kg</v>
      </c>
      <c r="BS13" s="6" t="str">
        <f>VLOOKUP($F$9,$R$3:$KQ$4,183,0)</f>
        <v>Grecoromana 67 Kg</v>
      </c>
      <c r="BT13" s="9" t="s">
        <v>669</v>
      </c>
      <c r="BU13" s="6" t="str">
        <f>VLOOKUP($F$9,$R$3:$KS$4,288,0)</f>
        <v>Femenino</v>
      </c>
    </row>
    <row r="14" ht="13.5" customHeight="1">
      <c r="A14" s="6"/>
      <c r="B14" s="25">
        <v>4.0</v>
      </c>
      <c r="C14" s="26"/>
      <c r="D14" s="26"/>
      <c r="E14" s="27"/>
      <c r="F14" s="27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9"/>
      <c r="S14" s="6" t="str">
        <f>VLOOKUP($F$9,$R$3:$KQ$4,259,0)</f>
        <v>Equipo Recurvo</v>
      </c>
      <c r="U14" s="6" t="str">
        <f>VLOOKUP($F$9,$R$3:$KQ$4,32,0)</f>
        <v>400m</v>
      </c>
      <c r="W14" s="6" t="str">
        <f>VLOOKUP($F$9,$R$3:$KQ$4,58,0)</f>
        <v>Dobles Mixto</v>
      </c>
      <c r="AC14" s="6"/>
      <c r="AF14" s="6" t="str">
        <f>VLOOKUP($F$9,$R$3:$KQ$4,92,0)</f>
        <v>K1 Extreme</v>
      </c>
      <c r="AG14" s="6" t="str">
        <f>VLOOKUP($F$9,$R$3:$KQ$4,82,0)</f>
        <v>MK4 500m</v>
      </c>
      <c r="AH14" s="6" t="str">
        <f>VLOOKUP($F$9,$R$3:$KQ$4,100,0)</f>
        <v>Omnium</v>
      </c>
      <c r="AI14" s="6" t="str">
        <f>VLOOKUP($F$9,$R$3:$KQ$4,4,0)</f>
        <v>Individual 10m Plataforma</v>
      </c>
      <c r="AJ14" s="6" t="str">
        <f>VLOOKUP($F$9,$R$3:$KQ$4,106,0)</f>
        <v>Evento Completo Individual</v>
      </c>
      <c r="AL14" s="6" t="str">
        <f>VLOOKUP($F$9,$R$3:$KQ$4,114,0)</f>
        <v>Sable Individual</v>
      </c>
      <c r="AM14" s="6" t="str">
        <f>VLOOKUP($F$9,$R$3:$KQ$4,126,0)</f>
        <v>Suelo</v>
      </c>
      <c r="AO14" s="6" t="str">
        <f>VLOOKUP($F$9,$R$3:$KQ$4,136,0)</f>
        <v>Pelota</v>
      </c>
      <c r="AS14" s="6" t="str">
        <f>VLOOKUP($F$9,$R$3:$KQ$4,148,0)</f>
        <v>M -73 Kg</v>
      </c>
      <c r="AT14" s="6" t="str">
        <f>VLOOKUP($F$9,$R$3:$KQ$4,163,0)</f>
        <v>Kumite M -75 Kg</v>
      </c>
      <c r="AU14" s="6" t="str">
        <f>VLOOKUP($F$9,$R$3:$KQ$4,213,0)</f>
        <v>Relevos Mixtos</v>
      </c>
      <c r="AX14" s="6" t="str">
        <f>VLOOKUP($F$9,$R$3:$KQ$4,209,0)</f>
        <v>Frontenis -Dobles (Frontón)</v>
      </c>
      <c r="AY14" s="6" t="str">
        <f>VLOOKUP($F$9,$R$3:$KQ$4,220,0)</f>
        <v>M4x</v>
      </c>
      <c r="AZ14" s="6" t="str">
        <f>VLOOKUP($F$9,$R$3:$KQ$4,216,0)</f>
        <v>Equipos</v>
      </c>
      <c r="BB14" s="6" t="str">
        <f>VLOOKUP($F$9,$R$3:$KQ$4,277,0)</f>
        <v>Bote (Ilca 6)</v>
      </c>
      <c r="BD14" s="6" t="str">
        <f>VLOOKUP($F$9,$R$3:$KQ$4,265,0)</f>
        <v>10m Pistola De Aire</v>
      </c>
      <c r="BF14" s="6" t="str">
        <f>VLOOKUP($F$9,$R$3:$KQ$4,234,0)</f>
        <v>Dobles</v>
      </c>
      <c r="BG14" s="6" t="str">
        <f>VLOOKUP($F$9,$R$3:$KQ$4,238,0)</f>
        <v>Sup Race</v>
      </c>
      <c r="BH14" s="6" t="str">
        <f>VLOOKUP($F$9,$R$3:$KQ$4,203,0)</f>
        <v>10000m Eliminación</v>
      </c>
      <c r="BJ14" s="6" t="str">
        <f>VLOOKUP($F$9,$R$3:$KQ$4,9,0)</f>
        <v>200m libre</v>
      </c>
      <c r="BK14" s="6" t="str">
        <f>VLOOKUP($F$9,$R$3:$KQ$4,252,0)</f>
        <v>Dobles Mixtos</v>
      </c>
      <c r="BL14" s="6" t="str">
        <f>VLOOKUP($F$9,$R$3:$KQ$4,242,0)</f>
        <v>M Kyorugi -80 Kg</v>
      </c>
      <c r="BN14" s="6" t="str">
        <f>VLOOKUP($F$9,$R$3:$KQ$4,255,0)</f>
        <v>Dobles</v>
      </c>
      <c r="BQ14" s="6" t="str">
        <f>VLOOKUP($F$9,$R$3:$KQ$4,174,0)</f>
        <v>M 89 Kg</v>
      </c>
      <c r="BS14" s="6" t="str">
        <f>VLOOKUP($F$9,$R$3:$KQ$4,184,0)</f>
        <v>Grecoromana 77 Kg</v>
      </c>
      <c r="BT14" s="6"/>
    </row>
    <row r="15" ht="13.5" customHeight="1">
      <c r="A15" s="6"/>
      <c r="B15" s="22">
        <v>5.0</v>
      </c>
      <c r="C15" s="28"/>
      <c r="D15" s="28"/>
      <c r="E15" s="29"/>
      <c r="F15" s="29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9"/>
      <c r="S15" s="6" t="str">
        <f>VLOOKUP($F$9,$R$3:$KQ$4,260,0)</f>
        <v>Equipo Compuesto</v>
      </c>
      <c r="U15" s="6" t="str">
        <f>VLOOKUP($F$9,$R$3:$KQ$4,33,0)</f>
        <v>800m</v>
      </c>
      <c r="W15" s="6"/>
      <c r="AF15" s="6"/>
      <c r="AG15" s="6" t="str">
        <f>VLOOKUP($F$9,$R$3:$KQ$4,83,0)</f>
        <v>MC1 1,000m</v>
      </c>
      <c r="AH15" s="6" t="str">
        <f>VLOOKUP($F$9,$R$3:$KQ$4,101,0)</f>
        <v>Velocidad Equipos</v>
      </c>
      <c r="AI15" s="6" t="str">
        <f>VLOOKUP($F$9,$R$3:$KQ$4,5,0)</f>
        <v>Sincronizados 3m Trampolín</v>
      </c>
      <c r="AJ15" s="6" t="str">
        <f>VLOOKUP($F$9,$R$3:$KQ$4,107,0)</f>
        <v>Evento Completo Equipos</v>
      </c>
      <c r="AL15" s="6" t="str">
        <f>VLOOKUP($F$9,$R$3:$KQ$4,115,0)</f>
        <v>Espada Equipos</v>
      </c>
      <c r="AM15" s="6" t="str">
        <f>VLOOKUP($F$9,$R$3:$KQ$4,127,0)</f>
        <v>Caballo Con Arzones</v>
      </c>
      <c r="AO15" s="6" t="str">
        <f>VLOOKUP($F$9,$R$3:$KQ$4,137,0)</f>
        <v>Mazas</v>
      </c>
      <c r="AS15" s="6" t="str">
        <f>VLOOKUP($F$9,$R$3:$KQ$4,149,0)</f>
        <v>M -81 Kg</v>
      </c>
      <c r="AT15" s="6" t="str">
        <f>VLOOKUP($F$9,$R$3:$KQ$4,164,0)</f>
        <v>Kumite M -84 Kg</v>
      </c>
      <c r="AX15" s="6" t="str">
        <f>VLOOKUP($F$9,$R$3:$KQ$4,210,0)</f>
        <v>Frontball</v>
      </c>
      <c r="AY15" s="6" t="str">
        <f>VLOOKUP($F$9,$R$3:$KQ$4,221,0)</f>
        <v>M2-</v>
      </c>
      <c r="AZ15" s="6" t="str">
        <f>VLOOKUP($F$9,$R$3:$KQ$4,217,0)</f>
        <v>Dobles Mixtos</v>
      </c>
      <c r="BB15" s="6" t="str">
        <f>VLOOKUP($F$9,$R$3:$KQ$4,278,0)</f>
        <v>Bote (Sunfish)</v>
      </c>
      <c r="BD15" s="6" t="str">
        <f>VLOOKUP($F$9,$R$3:$KQ$4,266,0)</f>
        <v>25m Pistola De Fuego Rapido</v>
      </c>
      <c r="BF15" s="6" t="str">
        <f>VLOOKUP($F$9,$R$3:$KQ$4,235,0)</f>
        <v>Dobles Mixtos</v>
      </c>
      <c r="BG15" s="6" t="str">
        <f>VLOOKUP($F$9,$R$3:$KQ$4,239,0)</f>
        <v>Longboard</v>
      </c>
      <c r="BH15" s="6" t="str">
        <f>VLOOKUP($F$9,$R$3:$KQ$4,204,0)</f>
        <v>1000m Sprint</v>
      </c>
      <c r="BJ15" s="6" t="str">
        <f>VLOOKUP($F$9,$R$3:$KQ$4,10,0)</f>
        <v>400m libre</v>
      </c>
      <c r="BL15" s="6" t="str">
        <f>VLOOKUP($F$9,$R$3:$KQ$4,243,0)</f>
        <v>M Kyorugi +80 Kg</v>
      </c>
      <c r="BN15" s="6" t="str">
        <f>VLOOKUP($F$9,$R$3:$KQ$4,256,0)</f>
        <v>Dobles Mixtos</v>
      </c>
      <c r="BQ15" s="6" t="str">
        <f>VLOOKUP($F$9,$R$3:$KQ$4,175,0)</f>
        <v>M 102 Kg</v>
      </c>
      <c r="BS15" s="6" t="str">
        <f>VLOOKUP($F$9,$R$3:$KQ$4,185,0)</f>
        <v>Grecoromana 87 Kg</v>
      </c>
      <c r="BT15" s="6"/>
    </row>
    <row r="16" ht="13.5" customHeight="1">
      <c r="A16" s="6"/>
      <c r="B16" s="25">
        <v>6.0</v>
      </c>
      <c r="C16" s="26"/>
      <c r="D16" s="26"/>
      <c r="E16" s="27"/>
      <c r="F16" s="27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9"/>
      <c r="S16" s="6" t="str">
        <f>VLOOKUP($F$9,$R$3:$KQ$4,261,0)</f>
        <v>Equipo Recurvo Mixto</v>
      </c>
      <c r="U16" s="6" t="str">
        <f>VLOOKUP($F$9,$R$3:$KQ$4,34,0)</f>
        <v>1500m</v>
      </c>
      <c r="AF16" s="6"/>
      <c r="AG16" s="6" t="str">
        <f>VLOOKUP($F$9,$R$3:$KQ$4,84,0)</f>
        <v>MC2 500m</v>
      </c>
      <c r="AH16" s="6" t="str">
        <f>VLOOKUP($F$9,$R$3:$KQ$4,102,0)</f>
        <v>Persecución Equipos</v>
      </c>
      <c r="AI16" s="6" t="str">
        <f>VLOOKUP($F$9,$R$3:$KQ$4,6,0)</f>
        <v>Sincronizados 10m Plataforma</v>
      </c>
      <c r="AJ16" s="6" t="str">
        <f>VLOOKUP($F$9,$R$3:$KQ$4,108,0)</f>
        <v>Salto Individual</v>
      </c>
      <c r="AL16" s="6" t="str">
        <f>VLOOKUP($F$9,$R$3:$KQ$4,116,0)</f>
        <v>Florete Equipos</v>
      </c>
      <c r="AM16" s="6" t="str">
        <f>VLOOKUP($F$9,$R$3:$KQ$4,128,0)</f>
        <v>Anillas</v>
      </c>
      <c r="AO16" s="6" t="str">
        <f>VLOOKUP($F$9,$R$3:$KQ$4,138,0)</f>
        <v>Cinta</v>
      </c>
      <c r="AS16" s="6" t="str">
        <f>VLOOKUP($F$9,$R$3:$KQ$4,150,0)</f>
        <v>M -90 Kg</v>
      </c>
      <c r="AT16" s="6" t="str">
        <f>VLOOKUP($F$9,$R$3:$KQ$4,165,0)</f>
        <v>Kumite M +84 Kg</v>
      </c>
      <c r="AY16" s="6" t="str">
        <f>VLOOKUP($F$9,$R$3:$KQ$4,222,0)</f>
        <v>M4-</v>
      </c>
      <c r="AZ16" s="6"/>
      <c r="BB16" s="6" t="str">
        <f>VLOOKUP($F$9,$R$3:$KQ$4,279,0)</f>
        <v>Skiff (49Er)</v>
      </c>
      <c r="BD16" s="6" t="str">
        <f>VLOOKUP($F$9,$R$3:$KQ$4,267,0)</f>
        <v>25m Pistola Deportiva</v>
      </c>
      <c r="BG16" s="6"/>
      <c r="BJ16" s="6" t="str">
        <f>VLOOKUP($F$9,$R$3:$KQ$4,11,0)</f>
        <v>800m libre</v>
      </c>
      <c r="BL16" s="6" t="str">
        <f>VLOOKUP($F$9,$R$3:$KQ$4,244,0)</f>
        <v>F Kyorugi -49 Kg</v>
      </c>
      <c r="BQ16" s="6" t="str">
        <f>VLOOKUP($F$9,$R$3:$KQ$4,176,0)</f>
        <v>M +102 Kg</v>
      </c>
      <c r="BS16" s="6" t="str">
        <f>VLOOKUP($F$9,$R$3:$KQ$4,186,0)</f>
        <v>Grecoromana 97 Kg</v>
      </c>
      <c r="BT16" s="6"/>
    </row>
    <row r="17" ht="13.5" customHeight="1">
      <c r="A17" s="6"/>
      <c r="B17" s="22">
        <v>7.0</v>
      </c>
      <c r="C17" s="28"/>
      <c r="D17" s="28"/>
      <c r="E17" s="29"/>
      <c r="F17" s="29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9"/>
      <c r="S17" s="6" t="str">
        <f>VLOOKUP($F$9,$R$3:$KQ$4,262,0)</f>
        <v>Equipo Compuesto Mixto</v>
      </c>
      <c r="U17" s="6" t="str">
        <f>VLOOKUP($F$9,$R$3:$KQ$4,3,0)</f>
        <v>Individual 3m Trampolín</v>
      </c>
      <c r="AG17" s="6" t="str">
        <f>VLOOKUP($F$9,$R$3:$KQ$4,85,0)</f>
        <v>WK1 500m</v>
      </c>
      <c r="AH17" s="6" t="str">
        <f>VLOOKUP($F$9,$R$3:$KQ$4,103,0)</f>
        <v>Madison</v>
      </c>
      <c r="AJ17" s="6" t="str">
        <f>VLOOKUP($F$9,$R$3:$KQ$4,109,0)</f>
        <v>Salto Equipos</v>
      </c>
      <c r="AL17" s="6" t="str">
        <f>VLOOKUP($F$9,$R$3:$KQ$4,117,0)</f>
        <v>Sable Equipos</v>
      </c>
      <c r="AM17" s="6" t="str">
        <f>VLOOKUP($F$9,$R$3:$KQ$4,129,0)</f>
        <v>Salto</v>
      </c>
      <c r="AO17" s="6" t="str">
        <f>VLOOKUP($F$9,$R$3:$KQ$4,139,0)</f>
        <v>General De Conjuntos</v>
      </c>
      <c r="AS17" s="6" t="str">
        <f>VLOOKUP($F$9,$R$3:$KQ$4,151,0)</f>
        <v>M -100 Kg</v>
      </c>
      <c r="AT17" s="6" t="str">
        <f>VLOOKUP($F$9,$R$3:$KQ$4,166,0)</f>
        <v>Kumite F -50 Kg</v>
      </c>
      <c r="AY17" s="6" t="str">
        <f>VLOOKUP($F$9,$R$3:$KQ$4,223,0)</f>
        <v>LM2x</v>
      </c>
      <c r="BB17" s="6" t="str">
        <f>VLOOKUP($F$9,$R$3:$KQ$4,280,0)</f>
        <v>Skiff (49Er Fx)</v>
      </c>
      <c r="BD17" s="6" t="str">
        <f>VLOOKUP($F$9,$R$3:$KQ$4,268,0)</f>
        <v>Skeet</v>
      </c>
      <c r="BJ17" s="6" t="str">
        <f>VLOOKUP($F$9,$R$3:$KQ$4,12,0)</f>
        <v>1.500m libre</v>
      </c>
      <c r="BL17" s="6" t="str">
        <f>VLOOKUP($F$9,$R$3:$KQ$4,245,0)</f>
        <v>F Kyorugi -57 Kg</v>
      </c>
      <c r="BQ17" s="6" t="str">
        <f>VLOOKUP($F$9,$R$3:$KQ$4,177,0)</f>
        <v>F 49 Kg</v>
      </c>
      <c r="BS17" s="6" t="str">
        <f>VLOOKUP($F$9,$R$3:$KQ$4,187,0)</f>
        <v>Grecoromana 130 Kg</v>
      </c>
    </row>
    <row r="18" ht="13.5" customHeight="1">
      <c r="A18" s="6"/>
      <c r="B18" s="25">
        <v>8.0</v>
      </c>
      <c r="C18" s="26"/>
      <c r="D18" s="26"/>
      <c r="E18" s="27"/>
      <c r="F18" s="27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9"/>
      <c r="S18" s="6"/>
      <c r="U18" s="6" t="str">
        <f>VLOOKUP($F$9,$R$3:$KQ$4,35,0)</f>
        <v>5000m</v>
      </c>
      <c r="AG18" s="6" t="str">
        <f>VLOOKUP($F$9,$R$3:$KQ$4,86,0)</f>
        <v>WK2 500m</v>
      </c>
      <c r="AM18" s="6" t="str">
        <f>VLOOKUP($F$9,$R$3:$KQ$4,130,0)</f>
        <v>Barras Paralelas</v>
      </c>
      <c r="AO18" s="6" t="str">
        <f>VLOOKUP($F$9,$R$3:$KQ$4,140,0)</f>
        <v>5 Aros</v>
      </c>
      <c r="AS18" s="6" t="str">
        <f>VLOOKUP($F$9,$R$3:$KQ$4,152,0)</f>
        <v>M +100 Kg</v>
      </c>
      <c r="AT18" s="6" t="str">
        <f>VLOOKUP($F$9,$R$3:$KQ$4,167,0)</f>
        <v>Kumite F -55 Kg</v>
      </c>
      <c r="AY18" s="6" t="str">
        <f>VLOOKUP($F$9,$R$3:$KQ$4,224,0)</f>
        <v>W1x</v>
      </c>
      <c r="BB18" s="6" t="str">
        <f>VLOOKUP($F$9,$R$3:$KQ$4,281,0)</f>
        <v>Kite (Fomula Kite)</v>
      </c>
      <c r="BD18" s="6" t="str">
        <f>VLOOKUP($F$9,$R$3:$KQ$4,269,0)</f>
        <v>Trap</v>
      </c>
      <c r="BJ18" s="6" t="str">
        <f>VLOOKUP($F$9,$R$3:$KQ$4,13,0)</f>
        <v>100m espalda</v>
      </c>
      <c r="BL18" s="6" t="str">
        <f>VLOOKUP($F$9,$R$3:$KQ$4,246,0)</f>
        <v>F Kyorugi -67 Kg</v>
      </c>
      <c r="BQ18" s="6" t="str">
        <f>VLOOKUP($F$9,$R$3:$KQ$4,178,0)</f>
        <v>F 59 Kg</v>
      </c>
      <c r="BS18" s="6" t="str">
        <f>VLOOKUP($F$9,$R$3:$KQ$4,188,0)</f>
        <v>Libre M 57 Kg</v>
      </c>
    </row>
    <row r="19" ht="13.5" customHeight="1">
      <c r="A19" s="6"/>
      <c r="B19" s="22">
        <v>9.0</v>
      </c>
      <c r="C19" s="28"/>
      <c r="D19" s="28"/>
      <c r="E19" s="29"/>
      <c r="F19" s="29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9"/>
      <c r="S19" s="6"/>
      <c r="U19" s="6" t="str">
        <f>VLOOKUP($F$9,$R$3:$KQ$4,36,0)</f>
        <v>10000m</v>
      </c>
      <c r="AG19" s="6" t="str">
        <f>VLOOKUP($F$9,$R$3:$KQ$4,87,0)</f>
        <v>WK4 500M</v>
      </c>
      <c r="AM19" s="6" t="str">
        <f>VLOOKUP($F$9,$R$3:$KQ$4,131,0)</f>
        <v>Barra Fija</v>
      </c>
      <c r="AO19" s="6" t="str">
        <f>VLOOKUP($F$9,$R$3:$KQ$4,141,0)</f>
        <v>3 Cintas/2 Pelotas</v>
      </c>
      <c r="AS19" s="6" t="str">
        <f>VLOOKUP($F$9,$R$3:$KQ$4,153,0)</f>
        <v>F -48 Kg</v>
      </c>
      <c r="AT19" s="6" t="str">
        <f>VLOOKUP($F$9,$R$3:$KQ$4,168,0)</f>
        <v>Kumite F -61 Kg</v>
      </c>
      <c r="AY19" s="6" t="str">
        <f>VLOOKUP($F$9,$R$3:$KQ$4,225,0)</f>
        <v>W2x</v>
      </c>
      <c r="BB19" s="6" t="str">
        <f>VLOOKUP($F$9,$R$3:$KQ$4,282,0)</f>
        <v>Mixto Catamarán (Nacra 17)</v>
      </c>
      <c r="BD19" s="6" t="str">
        <f>VLOOKUP($F$9,$R$3:$KQ$4,270,0)</f>
        <v>Mixto 10m Rifle De Aire</v>
      </c>
      <c r="BJ19" s="6" t="str">
        <f>VLOOKUP($F$9,$R$3:$KQ$4,14,0)</f>
        <v>200m espalda</v>
      </c>
      <c r="BL19" s="6" t="str">
        <f>VLOOKUP($F$9,$R$3:$KQ$4,247,0)</f>
        <v>F Kyorugi +67 Kg</v>
      </c>
      <c r="BQ19" s="6" t="str">
        <f>VLOOKUP($F$9,$R$3:$KQ$4,179,0)</f>
        <v>F 71 Kg</v>
      </c>
      <c r="BS19" s="6" t="str">
        <f>VLOOKUP($F$9,$R$3:$KQ$4,189,0)</f>
        <v>Libre M 65 Kg</v>
      </c>
    </row>
    <row r="20" ht="13.5" customHeight="1">
      <c r="A20" s="6"/>
      <c r="B20" s="25">
        <v>10.0</v>
      </c>
      <c r="C20" s="26"/>
      <c r="D20" s="26"/>
      <c r="E20" s="27"/>
      <c r="F20" s="27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9"/>
      <c r="S20" s="6"/>
      <c r="U20" s="6" t="str">
        <f>VLOOKUP($F$9,$R$3:$KQ$4,37,0)</f>
        <v>110 / 100 vallas</v>
      </c>
      <c r="AG20" s="6" t="str">
        <f>VLOOKUP($F$9,$R$3:$KQ$4,88,0)</f>
        <v>WC1 200m</v>
      </c>
      <c r="AM20" s="6" t="str">
        <f>VLOOKUP($F$9,$R$3:$KQ$4,132,0)</f>
        <v>Barras Asimétricas</v>
      </c>
      <c r="AS20" s="6" t="str">
        <f>VLOOKUP($F$9,$R$3:$KQ$4,154,0)</f>
        <v>F -52 Kg</v>
      </c>
      <c r="AT20" s="6" t="str">
        <f>VLOOKUP($F$9,$R$3:$KQ$4,169,0)</f>
        <v>Kumite F -68 Kg </v>
      </c>
      <c r="AY20" s="6" t="str">
        <f>VLOOKUP($F$9,$R$3:$KQ$4,226,0)</f>
        <v>W4x</v>
      </c>
      <c r="BB20" s="6" t="str">
        <f>VLOOKUP($F$9,$R$3:$KQ$4,283,0)</f>
        <v>Mixto Bote (Snipe)</v>
      </c>
      <c r="BD20" s="6" t="str">
        <f>VLOOKUP($F$9,$R$3:$KQ$4,271,0)</f>
        <v>Mixto 10m Pistola De Aire</v>
      </c>
      <c r="BJ20" s="6" t="str">
        <f>VLOOKUP($F$9,$R$3:$KQ$4,15,0)</f>
        <v>100m pecho</v>
      </c>
      <c r="BL20" s="6" t="str">
        <f>VLOOKUP($F$9,$R$3:$KQ$4,248,0)</f>
        <v>Poomsae Tradicional Individual</v>
      </c>
      <c r="BQ20" s="6" t="str">
        <f>VLOOKUP($F$9,$R$3:$KQ$4,180,0)</f>
        <v>F 81 Kg</v>
      </c>
      <c r="BS20" s="6" t="str">
        <f>VLOOKUP($F$9,$R$3:$KQ$4,190,0)</f>
        <v>Libre M 74 Kg</v>
      </c>
    </row>
    <row r="21" ht="17.25" customHeight="1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9"/>
      <c r="S21" s="6"/>
      <c r="U21" s="6" t="str">
        <f>VLOOKUP($F$9,$R$3:$KQ$4,38,0)</f>
        <v>400 Vallas</v>
      </c>
      <c r="AG21" s="6" t="str">
        <f>VLOOKUP($F$9,$R$3:$KQ$4,89,0)</f>
        <v>WC2 500m</v>
      </c>
      <c r="AM21" s="6" t="str">
        <f>VLOOKUP($F$9,$R$3:$KQ$4,133,0)</f>
        <v>Viga De Equilibrio</v>
      </c>
      <c r="AS21" s="6" t="str">
        <f>VLOOKUP($F$9,$R$3:$KQ$4,155,0)</f>
        <v>F -57 Kg</v>
      </c>
      <c r="AT21" s="6" t="str">
        <f>VLOOKUP($F$9,$R$3:$KQ$4,170,0)</f>
        <v>Kumite F +68 Kg</v>
      </c>
      <c r="AY21" s="6" t="str">
        <f>VLOOKUP($F$9,$R$3:$KQ$4,227,0)</f>
        <v>W2-</v>
      </c>
      <c r="BB21" s="6" t="str">
        <f>VLOOKUP($F$9,$R$3:$KQ$4,284,0)</f>
        <v>Mixto Bote (Lightning)</v>
      </c>
      <c r="BD21" s="6" t="str">
        <f>VLOOKUP($F$9,$R$3:$KQ$4,272,0)</f>
        <v>Mixto Skeet</v>
      </c>
      <c r="BJ21" s="6" t="str">
        <f>VLOOKUP($F$9,$R$3:$KQ$4,16,0)</f>
        <v>200m pecho</v>
      </c>
      <c r="BL21" s="6" t="str">
        <f>VLOOKUP($F$9,$R$3:$KQ$4,249,0)</f>
        <v>Poomsae Parejas Libres</v>
      </c>
      <c r="BQ21" s="6" t="str">
        <f>VLOOKUP($F$9,$R$3:$KQ$4,181,0)</f>
        <v>F +81 Kg</v>
      </c>
      <c r="BS21" s="6" t="str">
        <f>VLOOKUP($F$9,$R$3:$KQ$4,191,0)</f>
        <v>Libre M 86 Kg</v>
      </c>
    </row>
    <row r="22" ht="16.5" customHeight="1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9"/>
      <c r="S22" s="6"/>
      <c r="U22" s="6" t="str">
        <f>VLOOKUP($F$9,$R$3:$KQ$4,39,0)</f>
        <v>3000 con obstáculos</v>
      </c>
      <c r="AS22" s="6" t="str">
        <f>VLOOKUP($F$9,$R$3:$KQ$4,156,0)</f>
        <v>F -63 Kg</v>
      </c>
      <c r="AT22" s="6" t="str">
        <f>VLOOKUP($F$9,$R$3:$KQ$4,171,0)</f>
        <v>Kata</v>
      </c>
      <c r="AY22" s="6" t="str">
        <f>VLOOKUP($F$9,$R$3:$KQ$4,228,0)</f>
        <v>W4-</v>
      </c>
      <c r="BB22" s="6"/>
      <c r="BJ22" s="6" t="str">
        <f>VLOOKUP($F$9,$R$3:$KQ$4,17,0)</f>
        <v>100m mariposa</v>
      </c>
      <c r="BS22" s="6" t="str">
        <f>VLOOKUP($F$9,$R$3:$KQ$4,192,0)</f>
        <v>Libre M 97 Kg</v>
      </c>
    </row>
    <row r="23" ht="16.5" customHeight="1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9"/>
      <c r="S23" s="6"/>
      <c r="U23" s="6" t="str">
        <f>VLOOKUP($F$9,$R$3:$KQ$4,40,0)</f>
        <v>4x100m</v>
      </c>
      <c r="AS23" s="6" t="str">
        <f>VLOOKUP($F$9,$R$3:$KQ$4,157,0)</f>
        <v>F -70 Kg</v>
      </c>
      <c r="AY23" s="6" t="str">
        <f>VLOOKUP($F$9,$R$3:$KQ$4,229,0)</f>
        <v>LW2x</v>
      </c>
      <c r="BB23" s="6"/>
      <c r="BJ23" s="6" t="str">
        <f t="shared" ref="BJ23:BJ24" si="1">VLOOKUP($F$9,$R$3:$KQ$4,18,0)</f>
        <v>200m mariposa</v>
      </c>
      <c r="BS23" s="6" t="str">
        <f>VLOOKUP($F$9,$R$3:$KQ$4,193,0)</f>
        <v>Libre M 125 Kg</v>
      </c>
    </row>
    <row r="24" ht="16.5" customHeight="1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9"/>
      <c r="S24" s="31"/>
      <c r="U24" s="6" t="str">
        <f>VLOOKUP($F$9,$R$3:$KQ$4,41,0)</f>
        <v>4x400m</v>
      </c>
      <c r="AS24" s="6" t="str">
        <f>VLOOKUP($F$9,$R$3:$KQ$4,158,0)</f>
        <v>F -78 Kg</v>
      </c>
      <c r="AY24" s="6" t="str">
        <f>VLOOKUP($F$9,$R$3:$KQ$4,230,0)</f>
        <v>Mixto 8+</v>
      </c>
      <c r="BJ24" s="6" t="str">
        <f t="shared" si="1"/>
        <v>200m mariposa</v>
      </c>
      <c r="BS24" s="6" t="str">
        <f>VLOOKUP($F$9,$R$3:$KQ$4,194,0)</f>
        <v>Libre F 50 Kg</v>
      </c>
    </row>
    <row r="25" ht="16.5" customHeight="1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9"/>
      <c r="S25" s="31"/>
      <c r="U25" s="6" t="str">
        <f>VLOOKUP($F$9,$R$3:$KQ$4,42,0)</f>
        <v>Salto de Altura</v>
      </c>
      <c r="AS25" s="6" t="str">
        <f>VLOOKUP($F$9,$R$3:$KQ$4,159,0)</f>
        <v>F +78 Kg</v>
      </c>
      <c r="BJ25" s="6" t="str">
        <f>VLOOKUP($F$9,$R$3:$KQ$4,19,0)</f>
        <v>200m combinado individual</v>
      </c>
      <c r="BS25" s="6" t="str">
        <f>VLOOKUP($F$9,$R$3:$KQ$4,195,0)</f>
        <v>Libre F 53 Kg</v>
      </c>
    </row>
    <row r="26" ht="17.25" customHeight="1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9"/>
      <c r="S26" s="31"/>
      <c r="U26" s="6" t="str">
        <f>VLOOKUP($F$9,$R$3:$KQ$4,43,0)</f>
        <v>Salto de Longitud</v>
      </c>
      <c r="AS26" s="6" t="str">
        <f>VLOOKUP($F$9,$R$3:$KQ$4,160,0)</f>
        <v>Equipo  mixto</v>
      </c>
      <c r="BJ26" s="6" t="str">
        <f>VLOOKUP($F$9,$R$3:$KQ$4,20,0)</f>
        <v>400m combinado individual</v>
      </c>
      <c r="BS26" s="6" t="str">
        <f>VLOOKUP($F$9,$R$3:$KQ$4,196,0)</f>
        <v>Libre F 57 Kg</v>
      </c>
    </row>
    <row r="27" ht="45.0" customHeight="1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9"/>
      <c r="S27" s="31"/>
      <c r="U27" s="6" t="str">
        <f>VLOOKUP($F$9,$R$3:$KQ$4,44,0)</f>
        <v>Salto Triple</v>
      </c>
      <c r="BJ27" s="6" t="str">
        <f>VLOOKUP($F$9,$R$3:$KQ$4,21,0)</f>
        <v>4 x 100m posta libre</v>
      </c>
      <c r="BS27" s="6" t="str">
        <f>VLOOKUP($F$9,$R$3:$KQ$4,197,0)</f>
        <v>Libre F 62 Kg</v>
      </c>
    </row>
    <row r="28" ht="13.5" customHeight="1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9"/>
      <c r="S28" s="31"/>
      <c r="U28" s="6" t="str">
        <f>VLOOKUP($F$9,$R$3:$KQ$4,45,0)</f>
        <v>Salto con Pérdiga</v>
      </c>
      <c r="BJ28" s="6" t="str">
        <f>VLOOKUP($F$9,$R$3:$KQ$4,22,0)</f>
        <v>4 x 200m posta libre</v>
      </c>
      <c r="BS28" s="6" t="str">
        <f>VLOOKUP($F$9,$R$3:$KQ$4,198,0)</f>
        <v>Libre F 68 Kg</v>
      </c>
    </row>
    <row r="29" ht="13.5" customHeight="1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9"/>
      <c r="S29" s="31"/>
      <c r="U29" s="6" t="str">
        <f>VLOOKUP($F$9,$R$3:$KQ$4,46,0)</f>
        <v>Lanzamiento de Bala</v>
      </c>
      <c r="BJ29" s="6" t="str">
        <f>VLOOKUP($F$9,$R$3:$KQ$4,23,0)</f>
        <v>4 x 100m posta combinada</v>
      </c>
      <c r="BS29" s="6" t="str">
        <f>VLOOKUP($F$9,$R$3:$KQ$4,199,0)</f>
        <v>Libre F 76 Kg</v>
      </c>
    </row>
    <row r="30" ht="13.5" customHeight="1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9"/>
      <c r="S30" s="31"/>
      <c r="U30" s="6" t="str">
        <f>VLOOKUP($F$9,$R$3:$KQ$4,47,0)</f>
        <v>Lanzamiento de Disco</v>
      </c>
      <c r="BJ30" s="6" t="str">
        <f>VLOOKUP($F$9,$R$3:$KQ$4,24,0)</f>
        <v>Mixto 4 x 100m posta libre</v>
      </c>
    </row>
    <row r="31" ht="13.5" customHeight="1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9"/>
      <c r="S31" s="31"/>
      <c r="U31" s="6" t="str">
        <f>VLOOKUP($F$9,$R$3:$KQ$4,48,0)</f>
        <v>Lanzamiento de Jabalina</v>
      </c>
      <c r="BJ31" s="6" t="str">
        <f>VLOOKUP($F$9,$R$3:$KQ$4,25,0)</f>
        <v>Mixto 4 x 100m posta combinada</v>
      </c>
    </row>
    <row r="32" ht="13.5" customHeight="1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9"/>
      <c r="S32" s="31"/>
      <c r="U32" s="6" t="str">
        <f>VLOOKUP($F$9,$R$3:$KQ$4,49,0)</f>
        <v>Lanzamiento de Martillo</v>
      </c>
    </row>
    <row r="33" ht="13.5" customHeight="1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9"/>
      <c r="S33" s="31"/>
      <c r="U33" s="6" t="str">
        <f>VLOOKUP($F$9,$R$3:$KQ$4,50,0)</f>
        <v>20 km marcha</v>
      </c>
    </row>
    <row r="34" ht="13.5" customHeight="1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9"/>
      <c r="S34" s="31"/>
      <c r="U34" s="6" t="str">
        <f>VLOOKUP($F$9,$R$3:$KQ$4,51,0)</f>
        <v>Marathon</v>
      </c>
    </row>
    <row r="35" ht="13.5" customHeight="1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9"/>
      <c r="S35" s="31"/>
      <c r="U35" s="6" t="str">
        <f>VLOOKUP($F$9,$R$3:$KQ$4,52,0)</f>
        <v>Decatlón</v>
      </c>
    </row>
    <row r="36" ht="13.5" customHeight="1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9"/>
      <c r="S36" s="31"/>
      <c r="U36" s="6" t="str">
        <f>VLOOKUP($F$9,$R$3:$KQ$4,53,0)</f>
        <v>Heptatlón</v>
      </c>
    </row>
    <row r="37" ht="13.5" customHeight="1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9"/>
      <c r="S37" s="31"/>
      <c r="U37" s="6" t="str">
        <f>VLOOKUP($F$9,$R$3:$KQ$4,54,0)</f>
        <v>Mixto 35 km marcha</v>
      </c>
    </row>
    <row r="38" ht="13.5" customHeight="1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9"/>
      <c r="S38" s="31"/>
      <c r="U38" s="6" t="str">
        <f>VLOOKUP($F$9,$R$3:$KQ$4,55,0)</f>
        <v>Mixto 4x400m</v>
      </c>
    </row>
    <row r="39" ht="13.5" customHeight="1">
      <c r="A39" s="1"/>
      <c r="B39" s="21"/>
      <c r="C39" s="21"/>
      <c r="D39" s="1"/>
      <c r="E39" s="3"/>
      <c r="F39" s="3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9"/>
      <c r="S39" s="1"/>
    </row>
    <row r="40" ht="13.5" customHeight="1">
      <c r="A40" s="1"/>
      <c r="B40" s="21"/>
      <c r="C40" s="21"/>
      <c r="D40" s="1"/>
      <c r="E40" s="3"/>
      <c r="F40" s="3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9"/>
      <c r="S40" s="1"/>
    </row>
  </sheetData>
  <mergeCells count="3">
    <mergeCell ref="B1:C1"/>
    <mergeCell ref="D3:D4"/>
    <mergeCell ref="D5:D7"/>
  </mergeCells>
  <dataValidations>
    <dataValidation type="list" allowBlank="1" showErrorMessage="1" sqref="F9">
      <formula1>"Español,English"</formula1>
    </dataValidation>
    <dataValidation type="list" allowBlank="1" showErrorMessage="1" sqref="F11:F20">
      <formula1>"DOTA2,eFootball"</formula1>
    </dataValidation>
    <dataValidation type="list" allowBlank="1" showErrorMessage="1" sqref="E11:E20">
      <formula1>EGS!$BU$12:$BU$13</formula1>
    </dataValidation>
  </dataValidations>
  <printOptions/>
  <pageMargins bottom="0.75" footer="0.0" header="0.0" left="0.75" right="0.25" top="1.0"/>
  <pageSetup fitToHeight="0" paperSize="9" orientation="landscape"/>
  <drawing r:id="rId1"/>
</worksheet>
</file>